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DHkprLud18mBq6nK3/bkKspiTU1cxuMsY6jxkGaXDtVz7uBw1BZ6WcGXgzbM0PwEPiN0lQOoU250YjFQVliWjQ==" workbookSaltValue="3Gr+mbDX38MvfMyVPKYZw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6" i="8" l="1"/>
  <c r="T31" i="8"/>
  <c r="U13" i="16"/>
  <c r="P13" i="14"/>
  <c r="R13" i="14" s="1"/>
  <c r="R13" i="17"/>
  <c r="R8" i="9"/>
  <c r="BH30" i="16" s="1"/>
  <c r="I13" i="14"/>
  <c r="BG17" i="13"/>
  <c r="S19" i="14"/>
  <c r="V19" i="14" s="1"/>
  <c r="S29" i="14"/>
  <c r="V29" i="14" s="1"/>
  <c r="R12" i="14"/>
  <c r="R19" i="14"/>
  <c r="T13" i="11"/>
  <c r="T25" i="11"/>
  <c r="T11" i="11"/>
  <c r="S16" i="14"/>
  <c r="V16" i="14" s="1"/>
  <c r="T18" i="11"/>
  <c r="AA28" i="16"/>
  <c r="AA17" i="16"/>
  <c r="X13" i="17"/>
  <c r="AA18" i="16"/>
  <c r="X9" i="17"/>
  <c r="T18" i="20"/>
  <c r="X19" i="20"/>
  <c r="AA12" i="21"/>
  <c r="V19" i="16"/>
  <c r="V16" i="20"/>
  <c r="V23" i="20" s="1"/>
  <c r="R11" i="14"/>
  <c r="R22" i="14"/>
  <c r="T12" i="11"/>
  <c r="T22" i="1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9" i="12" l="1"/>
  <c r="X14" i="20"/>
  <c r="X9" i="16"/>
  <c r="X31" i="16" s="1"/>
  <c r="L25" i="2"/>
  <c r="L19" i="2"/>
  <c r="L11" i="2"/>
  <c r="AZ22" i="11"/>
  <c r="AZ12" i="11"/>
  <c r="X17" i="20"/>
  <c r="X22" i="20"/>
  <c r="X18" i="17"/>
  <c r="AA16" i="16"/>
  <c r="X17" i="17"/>
  <c r="AA25" i="16"/>
  <c r="S11" i="14"/>
  <c r="V11" i="14" s="1"/>
  <c r="T28" i="11"/>
  <c r="T19" i="11"/>
  <c r="R28" i="14"/>
  <c r="R18" i="14"/>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S18" i="14"/>
  <c r="V18" i="14" s="1"/>
  <c r="S13" i="14"/>
  <c r="V13"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G20" i="11"/>
  <c r="AP21" i="20"/>
  <c r="BJ11" i="11"/>
  <c r="R10" i="21"/>
  <c r="BJ20" i="11"/>
  <c r="BG16" i="11"/>
  <c r="BL13" i="11"/>
  <c r="P13" i="11" s="1"/>
  <c r="BJ25" i="11"/>
  <c r="AZ16" i="11"/>
  <c r="AZ23" i="11" s="1"/>
  <c r="BU10" i="17"/>
  <c r="BU20" i="17"/>
  <c r="BV29" i="16"/>
  <c r="S22" i="17"/>
  <c r="S16" i="16"/>
  <c r="S23" i="16" s="1"/>
  <c r="BH25" i="16"/>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23" i="16" s="1"/>
  <c r="BV26" i="16" s="1"/>
  <c r="BV30" i="16" s="1"/>
  <c r="BV18" i="16"/>
  <c r="BW18" i="20"/>
  <c r="BV12" i="16"/>
  <c r="BW12" i="20"/>
  <c r="BV16" i="16"/>
  <c r="BW16" i="20"/>
  <c r="U10" i="17"/>
  <c r="BV10" i="16"/>
  <c r="BU18" i="17"/>
  <c r="V12" i="16"/>
  <c r="BW21" i="20"/>
  <c r="BU12" i="17"/>
  <c r="BV9" i="16"/>
  <c r="S28" i="17"/>
  <c r="AZ17" i="11"/>
  <c r="T16" i="11"/>
  <c r="BG12" i="11"/>
  <c r="Q18" i="17"/>
  <c r="Q23" i="17" s="1"/>
  <c r="Q31" i="17" s="1"/>
  <c r="BI20" i="11"/>
  <c r="BH10" i="11"/>
  <c r="BI9" i="11"/>
  <c r="AQ10" i="21"/>
  <c r="BL28" i="11"/>
  <c r="AO29" i="17"/>
  <c r="BL10" i="11"/>
  <c r="S10" i="17"/>
  <c r="BH10" i="16"/>
  <c r="BI29" i="11"/>
  <c r="BH11" i="11"/>
  <c r="BG17" i="11"/>
  <c r="P17" i="11" s="1"/>
  <c r="S18" i="17"/>
  <c r="BM21" i="11"/>
  <c r="Q21" i="11" s="1"/>
  <c r="BM9" i="11"/>
  <c r="AO25" i="17"/>
  <c r="BH12" i="16"/>
  <c r="BJ17" i="11"/>
  <c r="BK22" i="11"/>
  <c r="BL17" i="11"/>
  <c r="BH22" i="11"/>
  <c r="L22" i="2"/>
  <c r="X22" i="16"/>
  <c r="S16" i="17"/>
  <c r="S17" i="17"/>
  <c r="L12" i="2"/>
  <c r="X19" i="16"/>
  <c r="X10" i="21"/>
  <c r="X31" i="21" s="1"/>
  <c r="L20" i="2"/>
  <c r="U9" i="17"/>
  <c r="U31" i="17" s="1"/>
  <c r="V10" i="16"/>
  <c r="V9" i="16"/>
  <c r="X13" i="16"/>
  <c r="BH9" i="16"/>
  <c r="BF13" i="11"/>
  <c r="BG25" i="11"/>
  <c r="BH16" i="16"/>
  <c r="Q18" i="20"/>
  <c r="Q23" i="20" s="1"/>
  <c r="BF28" i="11"/>
  <c r="BF18" i="11"/>
  <c r="BG22" i="11"/>
  <c r="BK29" i="11"/>
  <c r="AZ19" i="11"/>
  <c r="V12" i="21"/>
  <c r="V14" i="21" s="1"/>
  <c r="V31" i="21" s="1"/>
  <c r="BK11" i="11"/>
  <c r="AZ18" i="11"/>
  <c r="AP10" i="21"/>
  <c r="BH20" i="16"/>
  <c r="BH22" i="16"/>
  <c r="BH13" i="11"/>
  <c r="BH18" i="11"/>
  <c r="BM16" i="11"/>
  <c r="AO28" i="17"/>
  <c r="BU16" i="17"/>
  <c r="BW19" i="20"/>
  <c r="X20" i="16"/>
  <c r="BW25" i="20"/>
  <c r="BU22" i="17"/>
  <c r="U13" i="17"/>
  <c r="BW29" i="20"/>
  <c r="BW33" i="20" s="1"/>
  <c r="BW22" i="20"/>
  <c r="S11" i="17"/>
  <c r="BU17" i="17"/>
  <c r="BV20" i="16"/>
  <c r="S25" i="17"/>
  <c r="BF20" i="11"/>
  <c r="AZ11" i="11"/>
  <c r="P16" i="17"/>
  <c r="P23" i="17" s="1"/>
  <c r="P31" i="17" s="1"/>
  <c r="BL20" i="11"/>
  <c r="BF12" i="11"/>
  <c r="BL16" i="11"/>
  <c r="BH21" i="11"/>
  <c r="BK20" i="11"/>
  <c r="AZ25" i="11"/>
  <c r="AZ30" i="11" s="1"/>
  <c r="BJ10" i="11"/>
  <c r="BK17" i="11"/>
  <c r="BK23" i="11" s="1"/>
  <c r="Q16" i="17"/>
  <c r="BM18" i="11"/>
  <c r="BF16" i="11"/>
  <c r="BH17" i="11"/>
  <c r="BH23" i="11" s="1"/>
  <c r="BL22" i="11"/>
  <c r="AQ12" i="21"/>
  <c r="BI22" i="11"/>
  <c r="BH25" i="11"/>
  <c r="BK10" i="11"/>
  <c r="BI21" i="11"/>
  <c r="L10" i="2"/>
  <c r="L28" i="2"/>
  <c r="X21" i="20"/>
  <c r="L16" i="2"/>
  <c r="L17" i="2"/>
  <c r="L18" i="2"/>
  <c r="X16" i="16"/>
  <c r="X23" i="16" s="1"/>
  <c r="L9" i="2"/>
  <c r="V25" i="16"/>
  <c r="S28" i="14"/>
  <c r="V28" i="14" s="1"/>
  <c r="S21" i="14"/>
  <c r="V21" i="14" s="1"/>
  <c r="S10" i="14"/>
  <c r="V10" i="14" s="1"/>
  <c r="X12" i="17"/>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P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H14" i="11"/>
  <c r="BI23" i="11"/>
  <c r="U14" i="17"/>
  <c r="Q31" i="20"/>
  <c r="AQ17" i="11"/>
  <c r="P25" i="11"/>
  <c r="P12" i="11"/>
  <c r="BJ23" i="11"/>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F32" i="16"/>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<sst xmlns="http://schemas.openxmlformats.org/spreadsheetml/2006/main" count="2668" uniqueCount="1192">
  <si>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</si>
  <si>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</si>
  <si>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</si>
  <si>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</si>
  <si>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</si>
  <si>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</si>
  <si>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</si>
  <si>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</si>
  <si>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</si>
  <si>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</si>
  <si>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</si>
  <si>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</si>
  <si>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</si>
  <si>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</si>
  <si>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</si>
  <si>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</si>
  <si>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</si>
  <si>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</si>
  <si>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</si>
  <si>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</si>
  <si>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</si>
  <si>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</si>
  <si>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</si>
  <si>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</si>
  <si>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</si>
  <si>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</si>
  <si>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</si>
  <si>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</si>
  <si>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</si>
  <si>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</si>
  <si>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</si>
  <si>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</si>
  <si>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</si>
  <si>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</si>
  <si>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</si>
  <si>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</si>
  <si>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</si>
  <si>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</si>
  <si>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</si>
  <si>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</si>
  <si>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</si>
  <si>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</si>
  <si>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</si>
  <si>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</si>
  <si>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</si>
  <si>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</si>
  <si>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</si>
  <si>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</si>
  <si>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</si>
  <si>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</si>
  <si>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</si>
  <si>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</si>
  <si>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</si>
  <si>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</si>
  <si>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</si>
  <si>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</si>
  <si>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</si>
  <si>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</si>
  <si>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</si>
  <si>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</si>
  <si>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</si>
  <si>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</si>
  <si>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</si>
  <si>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</si>
  <si>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</si>
  <si>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</si>
  <si>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</si>
  <si>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</si>
  <si>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</si>
  <si>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</si>
  <si>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</si>
  <si>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</si>
  <si>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</si>
  <si>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</si>
  <si>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</si>
  <si>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</si>
  <si>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</si>
  <si>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</si>
  <si>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</si>
  <si>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</si>
  <si>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</si>
  <si>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</si>
  <si>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</si>
  <si>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</si>
  <si>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</si>
  <si>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</si>
  <si>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</si>
  <si>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</si>
  <si>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</si>
  <si>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</si>
  <si>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</si>
  <si>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</si>
  <si>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</si>
  <si>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</si>
  <si>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</si>
  <si>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</si>
  <si>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</si>
  <si>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</si>
  <si>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</si>
  <si>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</si>
  <si>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</si>
  <si>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</si>
  <si>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</si>
  <si>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</si>
  <si>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</si>
  <si>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</si>
  <si>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</si>
  <si>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</si>
  <si>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</si>
  <si>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</si>
  <si>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</si>
  <si>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</si>
  <si>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</si>
  <si>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</si>
  <si>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</si>
  <si>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</si>
  <si>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</si>
  <si>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</si>
  <si>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</si>
  <si>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</si>
  <si>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</si>
  <si>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</si>
  <si>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</si>
  <si>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</si>
  <si>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</si>
  <si>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</si>
  <si>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</si>
  <si>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</si>
  <si>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</si>
  <si>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</si>
  <si>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</si>
  <si>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</si>
  <si>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</si>
  <si>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</si>
  <si>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</si>
  <si>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</si>
  <si>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</si>
  <si>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</si>
  <si>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</si>
  <si>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</si>
  <si>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</si>
  <si>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</si>
  <si>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</si>
  <si>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</si>
  <si>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</si>
  <si>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</si>
  <si>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</si>
  <si>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</si>
  <si>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</si>
  <si>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</si>
  <si>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</si>
  <si>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</si>
  <si>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</si>
  <si>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</si>
  <si>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</si>
  <si>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</si>
  <si>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</si>
  <si>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</si>
  <si>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</si>
  <si>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</si>
  <si>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</si>
  <si>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</si>
  <si>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</si>
  <si>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</si>
  <si>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</si>
  <si>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</si>
  <si>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</si>
  <si>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</si>
  <si>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</si>
  <si>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</si>
  <si>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</si>
  <si>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</si>
  <si>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</si>
  <si>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</si>
  <si>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</si>
  <si>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</si>
  <si>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</si>
  <si>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</si>
  <si>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</si>
  <si>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</si>
  <si>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</si>
  <si>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</si>
  <si>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</si>
  <si>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</si>
  <si>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</si>
  <si>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</si>
  <si>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</si>
  <si>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</si>
  <si>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</si>
  <si>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</si>
  <si>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</si>
  <si>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</si>
  <si>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</si>
  <si>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</si>
  <si>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</si>
  <si>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</si>
  <si>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</si>
  <si>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</si>
  <si>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</si>
  <si>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</si>
  <si>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</si>
  <si>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</si>
  <si>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</si>
  <si>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</si>
  <si>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</si>
  <si>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</si>
  <si>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</si>
  <si>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</si>
  <si>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</si>
  <si>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</si>
  <si>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</si>
  <si>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</si>
  <si>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</si>
  <si>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</si>
  <si>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</si>
  <si>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</si>
  <si>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</si>
  <si>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</si>
  <si>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</si>
  <si>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</si>
  <si>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</si>
  <si>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</si>
  <si>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</si>
  <si>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</si>
  <si>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</si>
  <si>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</si>
  <si>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</si>
  <si>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</si>
  <si>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</si>
  <si>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</si>
  <si>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</si>
  <si>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</si>
  <si>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</si>
  <si>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</si>
  <si>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</si>
  <si>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</si>
  <si>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</si>
  <si>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</si>
  <si>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</si>
  <si>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</si>
  <si>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</si>
  <si>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</si>
  <si>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</si>
  <si>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</si>
  <si>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</si>
  <si>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</si>
  <si>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</si>
  <si>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</si>
  <si>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</si>
  <si>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</si>
  <si>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</si>
  <si>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</si>
  <si>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</si>
  <si>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</si>
  <si>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</si>
  <si>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</si>
  <si>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</si>
  <si>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</si>
  <si>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</si>
  <si>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</si>
  <si>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</si>
  <si>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</si>
  <si>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</si>
  <si>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</si>
  <si>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</si>
  <si>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</si>
  <si>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</si>
  <si>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</si>
  <si>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</si>
  <si>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</si>
  <si>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</si>
  <si>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</si>
  <si>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</si>
  <si>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</si>
  <si>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</si>
  <si>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</si>
  <si>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</si>
  <si>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</si>
  <si>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</si>
  <si>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</si>
  <si>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</si>
  <si>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</si>
  <si>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</si>
  <si>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</si>
  <si>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</si>
  <si>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</si>
  <si>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</si>
  <si>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</si>
  <si>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</si>
  <si>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</si>
  <si>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</si>
  <si>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</si>
  <si>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</si>
  <si>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</si>
  <si>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</si>
  <si>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</si>
  <si>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</si>
  <si>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</si>
  <si>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</si>
  <si>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</si>
  <si>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</si>
  <si>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</si>
  <si>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</si>
  <si>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</si>
  <si>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</si>
  <si>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</si>
  <si>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</si>
  <si>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</si>
  <si>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</si>
  <si>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</si>
  <si>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</si>
  <si>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</si>
  <si>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</si>
  <si>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</si>
  <si>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</si>
  <si>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</si>
  <si>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</si>
  <si>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</si>
  <si>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</si>
  <si>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</si>
  <si>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</si>
  <si>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</si>
  <si>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</si>
  <si>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</si>
  <si>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</si>
  <si>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</si>
  <si>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</si>
  <si>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</si>
  <si>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</si>
  <si>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</si>
  <si>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</si>
  <si>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</si>
  <si>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</si>
  <si>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</si>
  <si>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</si>
  <si>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</si>
  <si>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</si>
  <si>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</si>
  <si>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</si>
  <si>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</si>
  <si>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</si>
  <si>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</si>
  <si>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</si>
  <si>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</si>
  <si>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</si>
  <si>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</si>
  <si>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</si>
  <si>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</si>
  <si>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</si>
  <si>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</si>
  <si>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</si>
  <si>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</si>
  <si>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</si>
  <si>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</si>
  <si>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</si>
  <si>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</si>
  <si>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</si>
  <si>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</si>
  <si>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</si>
  <si>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</si>
  <si>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</si>
  <si>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</si>
  <si>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</si>
  <si>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</si>
  <si>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</si>
  <si>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</si>
  <si>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</si>
  <si>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</si>
  <si>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</si>
  <si>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</si>
  <si>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</si>
  <si>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</si>
  <si>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</si>
  <si>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</si>
  <si>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</si>
  <si>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</si>
  <si>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</si>
  <si>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</si>
  <si>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</si>
  <si>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</si>
  <si>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</si>
  <si>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</si>
  <si>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</si>
  <si>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</si>
  <si>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</si>
  <si>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</si>
  <si>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</si>
  <si>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</si>
  <si>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</si>
  <si>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</si>
  <si>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</si>
  <si>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</si>
  <si>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</si>
  <si>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</si>
  <si>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</si>
  <si>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</si>
  <si>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</si>
  <si>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</si>
  <si>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</si>
  <si>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</si>
  <si>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</si>
  <si>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</si>
  <si>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</si>
  <si>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</si>
  <si>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</si>
  <si>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</si>
  <si>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</si>
  <si>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</si>
  <si>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</si>
  <si>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</si>
  <si>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</si>
  <si>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</si>
  <si>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</si>
  <si>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</si>
  <si>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</si>
  <si>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</si>
  <si>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</si>
  <si>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</si>
  <si>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</si>
  <si>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</si>
  <si>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</si>
  <si>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</si>
  <si>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</si>
  <si>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</si>
  <si>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</si>
  <si>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</si>
  <si>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</si>
  <si>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</si>
  <si>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</si>
  <si>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</si>
  <si>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</si>
  <si>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</si>
  <si>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</si>
  <si>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</si>
  <si>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</si>
  <si>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</si>
  <si>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</si>
  <si>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</si>
  <si>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</si>
  <si>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</si>
  <si>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</si>
  <si>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</si>
  <si>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</si>
  <si>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</si>
  <si>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</si>
  <si>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</si>
  <si>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</si>
  <si>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</si>
  <si>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</si>
  <si>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</si>
  <si>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</si>
  <si>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</si>
  <si>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</si>
  <si>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</si>
  <si>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</si>
  <si>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</si>
  <si>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</si>
  <si>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</si>
  <si>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</si>
  <si>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</si>
  <si>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</si>
  <si>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</si>
  <si>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</si>
  <si>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</si>
  <si>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</si>
  <si>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</si>
  <si>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</si>
  <si>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</si>
  <si>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</si>
  <si>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</si>
  <si>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</si>
  <si>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</si>
  <si>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</si>
  <si>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</si>
  <si>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</si>
  <si>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</si>
  <si>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</si>
  <si>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</si>
  <si>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</si>
  <si>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</si>
  <si>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</si>
  <si>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</si>
  <si>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</si>
  <si>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</si>
  <si>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</si>
  <si>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</si>
  <si>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</si>
  <si>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</si>
  <si>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</si>
  <si>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</si>
  <si>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</si>
  <si>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</si>
  <si>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</si>
  <si>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</si>
  <si>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</si>
  <si>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</si>
  <si>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</si>
  <si>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</si>
  <si>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</si>
  <si>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</si>
  <si>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</si>
  <si>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</si>
  <si>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</si>
  <si>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</si>
  <si>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</si>
  <si>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</si>
  <si>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</si>
  <si>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</si>
  <si>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</si>
  <si>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</si>
  <si>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</si>
  <si>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</si>
  <si>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</si>
  <si>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</si>
  <si>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</si>
  <si>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</si>
  <si>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</si>
  <si>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</si>
  <si>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</si>
  <si>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</si>
  <si>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</si>
  <si>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</si>
  <si>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</si>
  <si>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</si>
  <si>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</si>
  <si>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</si>
  <si>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</si>
  <si>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</si>
  <si>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</si>
  <si>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</si>
  <si>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</si>
  <si>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</si>
  <si>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</si>
  <si>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</si>
  <si>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</si>
  <si>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</si>
  <si>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</si>
  <si>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</si>
  <si>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</si>
  <si>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</si>
  <si>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</si>
  <si>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</si>
  <si>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</si>
  <si>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</si>
  <si>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</si>
  <si>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</si>
  <si>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</si>
  <si>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</si>
  <si>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</si>
  <si>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</si>
  <si>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</si>
  <si>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</si>
  <si>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</si>
  <si>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</si>
  <si>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</si>
  <si>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</si>
  <si>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</si>
  <si>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</si>
  <si>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</si>
  <si>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</si>
  <si>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</si>
  <si>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</si>
  <si>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</si>
  <si>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</si>
  <si>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</si>
  <si>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</si>
  <si>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</si>
  <si>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</si>
  <si>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</si>
  <si>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</si>
  <si>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</si>
  <si>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</si>
  <si>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</si>
  <si>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</si>
  <si>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</si>
  <si>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</si>
  <si>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</si>
  <si>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</si>
  <si>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</si>
  <si>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</si>
  <si>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</si>
  <si>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</si>
  <si>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</si>
  <si>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</si>
  <si>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</si>
  <si>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</si>
  <si>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</si>
  <si>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</si>
  <si>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</si>
  <si>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</si>
  <si>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</si>
  <si>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</si>
  <si>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</si>
  <si>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</si>
  <si>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</si>
  <si>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</si>
  <si>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</si>
  <si>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</si>
  <si>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</si>
  <si>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</si>
  <si>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</si>
  <si>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</si>
  <si>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</si>
  <si>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</si>
  <si>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</si>
  <si>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</si>
  <si>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</si>
  <si>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</si>
  <si>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</si>
  <si>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</si>
  <si>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</si>
  <si>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</si>
  <si>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</si>
  <si>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</si>
  <si>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</si>
  <si>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</si>
  <si>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</si>
  <si>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</si>
  <si>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</si>
  <si>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</si>
  <si>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</si>
  <si>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</si>
  <si>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</si>
  <si>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</si>
  <si>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</si>
  <si>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</si>
  <si>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</si>
  <si>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</si>
  <si>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</si>
  <si>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</si>
  <si>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</si>
  <si>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</si>
  <si>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</si>
  <si>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</si>
  <si>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</si>
  <si>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</si>
  <si>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</si>
  <si>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</si>
  <si>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</si>
  <si>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</si>
  <si>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</si>
  <si>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</si>
  <si>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</si>
  <si>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</si>
  <si>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</si>
  <si>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</si>
  <si>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</si>
  <si>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</si>
  <si>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</si>
  <si>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</si>
  <si>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</si>
  <si>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</si>
  <si>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</si>
  <si>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</si>
  <si>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</si>
  <si>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</si>
  <si>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</si>
  <si>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</si>
  <si>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</si>
  <si>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</si>
  <si>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</si>
  <si>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</si>
  <si>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</si>
  <si>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</si>
  <si>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</si>
  <si>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</si>
  <si>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</si>
  <si>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</si>
  <si>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</si>
  <si>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</si>
  <si>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</si>
  <si>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</si>
  <si>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</si>
  <si>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</si>
  <si>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</si>
  <si>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</si>
  <si>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</si>
  <si>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</si>
  <si>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</si>
  <si>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</si>
  <si>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</si>
  <si>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</si>
  <si>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</si>
  <si>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</si>
  <si>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</si>
  <si>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</si>
  <si>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</si>
  <si>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</si>
  <si>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</si>
  <si>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</si>
  <si>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</si>
  <si>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</si>
  <si>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</si>
  <si>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</si>
  <si>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</si>
  <si>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</si>
  <si>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</si>
  <si>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</si>
  <si>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</si>
  <si>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</si>
  <si>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</si>
  <si>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</si>
  <si>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</si>
  <si>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</si>
  <si>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</si>
  <si>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</si>
  <si>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</si>
  <si>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</si>
  <si>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</si>
  <si>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</si>
  <si>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</si>
  <si>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</si>
  <si>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</si>
  <si>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</si>
  <si>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</si>
  <si>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</si>
  <si>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</si>
  <si>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</si>
  <si>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</si>
  <si>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</si>
  <si>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</si>
  <si>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</si>
  <si>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</si>
  <si>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</si>
  <si>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</si>
  <si>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</si>
  <si>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</si>
  <si>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</si>
  <si>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</si>
  <si>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</si>
  <si>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</si>
  <si>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</si>
  <si>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</si>
  <si>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</si>
  <si>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</si>
  <si>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</si>
  <si>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</si>
  <si>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</si>
  <si>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</si>
  <si>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</si>
  <si>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</si>
  <si>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</si>
  <si>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</si>
  <si>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</si>
  <si>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</si>
  <si>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</si>
  <si>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</si>
  <si>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</si>
  <si>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</si>
  <si>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</si>
  <si>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</si>
  <si>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</si>
  <si>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</si>
  <si>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</si>
  <si>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</si>
  <si>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</si>
  <si>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</si>
  <si>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</si>
  <si>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</si>
  <si>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</si>
  <si>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</si>
  <si>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</si>
  <si>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</si>
  <si>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</si>
  <si>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</si>
  <si>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</si>
  <si>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</si>
  <si>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</si>
  <si>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</si>
  <si>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</si>
  <si>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</si>
  <si>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</si>
  <si>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</si>
  <si>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</si>
  <si>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</si>
  <si>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</si>
  <si>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</si>
  <si>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</si>
  <si>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</si>
  <si>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</si>
  <si>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</si>
  <si>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</si>
  <si>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</si>
  <si>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</si>
  <si>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</si>
  <si>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</si>
  <si>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</si>
  <si>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</si>
  <si>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</si>
  <si>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</si>
  <si>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</si>
  <si>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</si>
  <si>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</si>
  <si>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</si>
  <si>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</si>
  <si>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</si>
  <si>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</si>
  <si>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</si>
  <si>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</si>
  <si>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</si>
  <si>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</si>
  <si>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</si>
  <si>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</si>
  <si>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</si>
  <si>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</si>
  <si>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</si>
  <si>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</si>
  <si>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</si>
  <si>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</si>
  <si>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</si>
  <si>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</si>
  <si>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</si>
  <si>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</si>
  <si>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</si>
  <si>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</si>
  <si>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</si>
  <si>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</si>
  <si>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</si>
  <si>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</si>
  <si>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</si>
  <si>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</si>
  <si>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</si>
  <si>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</si>
  <si>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</si>
  <si>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</si>
  <si>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</si>
  <si>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</si>
  <si>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</si>
  <si>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</si>
  <si>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</si>
  <si>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</si>
  <si>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</si>
  <si>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</si>
  <si>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</si>
  <si>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</si>
  <si>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</si>
  <si>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</si>
  <si>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</si>
  <si>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</si>
  <si>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</si>
  <si>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</si>
  <si>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</si>
  <si>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</si>
  <si>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</si>
  <si>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</si>
  <si>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</si>
  <si>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</si>
  <si>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</si>
  <si>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</si>
  <si>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</si>
  <si>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</si>
  <si>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</si>
  <si>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</si>
  <si>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</si>
  <si>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</si>
  <si>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</si>
  <si>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</si>
  <si>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</si>
  <si>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</si>
  <si>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</si>
  <si>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</si>
  <si>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</si>
  <si>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</si>
  <si>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</si>
  <si>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</si>
  <si>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</si>
  <si>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</si>
  <si>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</si>
  <si>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</si>
  <si>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</si>
  <si>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</si>
  <si>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</si>
  <si>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</si>
  <si>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</si>
  <si>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</si>
  <si>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</si>
  <si>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</si>
  <si>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</si>
  <si>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</si>
  <si>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</si>
  <si>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</si>
  <si>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</si>
  <si>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</si>
  <si>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</si>
  <si>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</si>
  <si>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</si>
  <si>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</si>
  <si>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</si>
  <si>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</si>
  <si>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</si>
  <si>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</si>
  <si>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</si>
  <si>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</si>
  <si>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</si>
  <si>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</si>
  <si>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</si>
  <si>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</si>
  <si>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</si>
  <si>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</si>
  <si>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</si>
  <si>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</si>
  <si>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</si>
  <si>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</si>
  <si>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</si>
  <si>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</si>
  <si>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</si>
  <si>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</si>
  <si>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</si>
  <si>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</si>
  <si>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</si>
  <si>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</si>
  <si>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</si>
  <si>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</si>
  <si>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</si>
  <si>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</si>
  <si>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</si>
  <si>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</si>
  <si>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</si>
  <si>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</si>
  <si>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</si>
  <si>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</si>
  <si>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</si>
  <si>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</si>
  <si>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</si>
  <si>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</si>
  <si>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</si>
  <si>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</si>
  <si>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</si>
  <si>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</si>
  <si>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</si>
  <si>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</si>
  <si>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</si>
  <si>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</si>
  <si>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</si>
  <si>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</si>
  <si>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</si>
  <si>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</si>
  <si>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</si>
  <si>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</si>
  <si>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</si>
  <si>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</si>
  <si>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</si>
  <si>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</si>
  <si>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</si>
  <si>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</si>
  <si>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</si>
  <si>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</si>
  <si>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</si>
  <si>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</si>
  <si>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</si>
  <si>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</si>
  <si>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</si>
  <si>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</si>
  <si>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</si>
  <si>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</si>
  <si>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</si>
  <si>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</si>
  <si>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</si>
  <si>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</si>
  <si>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</si>
  <si>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</si>
  <si>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</si>
  <si>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</si>
  <si>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</si>
  <si>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</si>
  <si>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</si>
  <si>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</si>
  <si>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</si>
  <si>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</si>
  <si>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</si>
  <si>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</si>
  <si>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</si>
  <si>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</si>
  <si>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</si>
  <si>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</si>
  <si>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</si>
  <si>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</si>
  <si>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</si>
  <si>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</si>
  <si>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</si>
  <si>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</si>
  <si>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</si>
  <si>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</si>
  <si>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</si>
  <si>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</si>
  <si>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</si>
  <si>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</si>
  <si>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</si>
  <si>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</si>
  <si>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</si>
  <si>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</si>
  <si>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</si>
  <si>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</si>
  <si>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</si>
  <si>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</si>
  <si>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</si>
  <si>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</si>
  <si>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</si>
  <si>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</si>
  <si>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</si>
  <si>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</si>
  <si>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</si>
  <si>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</si>
  <si>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</si>
  <si>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</si>
  <si>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</si>
  <si>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</si>
  <si>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</si>
  <si>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</si>
  <si>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</si>
  <si>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</si>
  <si>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</si>
  <si>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</si>
  <si>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</si>
  <si>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</si>
  <si>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</si>
  <si>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</si>
  <si>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</si>
  <si>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</si>
  <si>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</si>
  <si>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</si>
  <si>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</si>
  <si>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</si>
  <si>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</si>
  <si>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</si>
  <si>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</si>
  <si>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</si>
  <si>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</si>
  <si>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</si>
  <si>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</si>
  <si>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</si>
  <si>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</si>
  <si>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</si>
  <si>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</si>
  <si>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</si>
  <si>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</si>
  <si>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</si>
  <si>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</si>
  <si>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</si>
  <si>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</si>
  <si>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</si>
  <si>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</si>
  <si>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</si>
  <si>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</si>
  <si>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</si>
  <si>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</si>
  <si>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</si>
  <si>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</si>
  <si>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</si>
  <si>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</si>
  <si>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</si>
  <si>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</si>
  <si>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</si>
  <si>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</si>
  <si>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</si>
  <si>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</si>
  <si>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</si>
  <si>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</si>
  <si>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</si>
  <si>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</si>
  <si>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</si>
  <si>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</si>
  <si>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</si>
  <si>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</si>
  <si>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</si>
  <si>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</si>
  <si>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</si>
  <si>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</si>
  <si>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</si>
  <si>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</si>
  <si>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</si>
  <si>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</si>
  <si>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</si>
  <si>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</si>
  <si>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</si>
  <si>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</si>
  <si>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</si>
  <si>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</si>
  <si>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</si>
  <si>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</si>
  <si>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</si>
  <si>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</si>
  <si>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</si>
  <si>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</si>
  <si>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</si>
  <si>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</si>
  <si>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</si>
  <si>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</si>
  <si>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</si>
  <si>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</si>
  <si>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</si>
  <si>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</si>
  <si>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</si>
  <si>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</si>
  <si>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</si>
  <si>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</si>
  <si>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</si>
  <si>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</si>
  <si>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</si>
  <si>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</si>
  <si>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</si>
  <si>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</si>
  <si>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</si>
  <si>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</si>
  <si>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</si>
  <si>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</si>
  <si>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</si>
  <si>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</si>
  <si>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</si>
  <si>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</si>
  <si>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</si>
  <si>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</si>
  <si>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</si>
  <si>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</si>
  <si>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</si>
  <si>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</si>
  <si>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</si>
  <si>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</si>
  <si>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</si>
  <si>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</si>
  <si>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</si>
  <si>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</si>
  <si>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</si>
  <si>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</si>
  <si>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</si>
  <si>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</si>
  <si>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</si>
  <si>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</si>
  <si>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</si>
  <si>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</si>
  <si>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</si>
  <si>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</si>
  <si>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</si>
  <si>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</si>
  <si>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</si>
  <si>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</si>
  <si>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</si>
  <si>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</si>
  <si>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</si>
  <si>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</si>
  <si>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</si>
  <si>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</si>
  <si>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</si>
  <si>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</si>
  <si>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</si>
  <si>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</si>
  <si>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</si>
  <si>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</si>
  <si>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</si>
  <si>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</si>
  <si>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</si>
  <si>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</si>
  <si>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</si>
  <si>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</si>
  <si>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</si>
  <si>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</si>
  <si>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</si>
  <si>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</si>
  <si>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</si>
  <si>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</si>
  <si>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</si>
  <si>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</si>
  <si>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</si>
  <si>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</si>
  <si>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</si>
  <si>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</si>
  <si>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</si>
  <si>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</si>
  <si>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</si>
  <si>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</si>
  <si>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</si>
  <si>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</si>
  <si>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</si>
  <si>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</si>
  <si>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</si>
  <si>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</si>
  <si>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</si>
  <si>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</si>
  <si>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</si>
  <si>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</si>
  <si>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</si>
  <si>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</si>
  <si>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</si>
  <si>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</si>
  <si>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</si>
  <si>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</si>
  <si>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</si>
  <si>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</si>
  <si>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</si>
  <si>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</si>
  <si>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ALBACETE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</si>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</sst>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5jqsfKPakWiyD8zvrPRe6OzU7yXbc5qAhHx/JSSx/8YqRIDbF8I9ucwOnVKX8lzbv1jzLXnvhOeH5VTg3EgkA==" saltValue="50fRff8GCwAkck2avkSA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26.572529465095194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80</v>
      </c>
      <c r="D10" s="239">
        <f>IF(ISNUMBER(Datos!I10),Datos!I10," - ")</f>
        <v>80</v>
      </c>
      <c r="E10" s="240">
        <f>IF(ISNUMBER(Datos!J10),Datos!J10," - ")</f>
        <v>48</v>
      </c>
      <c r="F10" s="240">
        <f>IF(ISNUMBER(Datos!K10),Datos!K10," - ")</f>
        <v>34</v>
      </c>
      <c r="G10" s="1390" t="str">
        <f>IF(Datos!E10&lt;&gt;"",Datos!E10,Datos!D10)</f>
        <v>37</v>
      </c>
      <c r="H10" s="241">
        <f>IF(ISNUMBER(Datos!L10),Datos!L10," - ")</f>
        <v>94</v>
      </c>
      <c r="I10" s="1400" t="str">
        <f>IF(ISNUMBER(Datos!AS10/Datos!BM10),Datos!AS10/Datos!BM10," - ")</f>
        <v xml:space="preserve"> - </v>
      </c>
      <c r="J10" s="1401">
        <f>IF(ISNUMBER(Datos!BY10/Datos!CN10),Datos!BY10/Datos!CN10," - ")</f>
        <v>0</v>
      </c>
      <c r="K10" s="244">
        <f t="shared" ref="K10:K13" si="1">IF(ISNUMBER((E10-F10)/C10),(E10-F10)/C10," - ")</f>
        <v>0.17499999999999999</v>
      </c>
      <c r="L10" s="1402">
        <f>IF(ISNUMBER(NºAsuntos!I10/NºAsuntos!G10),(NºAsuntos!I10/NºAsuntos!G10)*11," - ")</f>
        <v>30.411764705882351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10.413602941176471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80</v>
      </c>
      <c r="D14" s="1407">
        <f>SUBTOTAL(9,D9:D13)</f>
        <v>80</v>
      </c>
      <c r="E14" s="1408">
        <f>SUBTOTAL(9,E9:E13)</f>
        <v>48</v>
      </c>
      <c r="F14" s="1409">
        <f>SUBTOTAL(9,F9:F13)</f>
        <v>34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2766</v>
      </c>
      <c r="D16" s="239">
        <f>IF(ISNUMBER(IF(D_I="SI",Datos!I16,Datos!I16+Datos!AC16)),IF(D_I="SI",Datos!I16,Datos!I16+Datos!AC16)," - ")</f>
        <v>2760</v>
      </c>
      <c r="E16" s="240">
        <f>IF(ISNUMBER(IF(D_I="SI",Datos!J16,Datos!J16+Datos!AD16)),IF(D_I="SI",Datos!J16,Datos!J16+Datos!AD16)," - ")</f>
        <v>1942</v>
      </c>
      <c r="F16" s="240">
        <f>IF(ISNUMBER(IF(D_I="SI",Datos!K16,Datos!K16+Datos!AE16)),IF(D_I="SI",Datos!K16,Datos!K16+Datos!AE16)," - ")</f>
        <v>2072</v>
      </c>
      <c r="G16" s="1390" t="str">
        <f>IF(Datos!E16&lt;&gt;"",Datos!E16,Datos!D16)</f>
        <v>03</v>
      </c>
      <c r="H16" s="241">
        <f>IF(ISNUMBER(IF(D_I="SI",Datos!L16,Datos!L16+Datos!AF16)),IF(D_I="SI",Datos!L16,Datos!L16+Datos!AF16)," - ")</f>
        <v>2636</v>
      </c>
      <c r="I16" s="1400" t="str">
        <f>IF(ISNUMBER(Datos!AS16/Datos!BM16),Datos!AS16/Datos!BM16," - ")</f>
        <v xml:space="preserve"> - </v>
      </c>
      <c r="J16" s="1401">
        <f>IF(ISNUMBER(Datos!BY16/Datos!CN16),Datos!BY16/Datos!CN16," - ")</f>
        <v>0</v>
      </c>
      <c r="K16" s="244">
        <f t="shared" ref="K16:K22" si="3">IF(ISNUMBER((E16-F16)/C16),(E16-F16)/C16," - ")</f>
        <v>-4.6999276934201015E-2</v>
      </c>
      <c r="L16" s="1402">
        <f>IF(ISNUMBER(NºAsuntos!I16/NºAsuntos!G16),(NºAsuntos!I16/NºAsuntos!G16)*11," - ")</f>
        <v>13.994208494208495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224</v>
      </c>
      <c r="D18" s="239">
        <f>IF(ISNUMBER(IF(D_I="SI",Datos!I18,Datos!I18+Datos!AC18)),IF(D_I="SI",Datos!I18,Datos!I18+Datos!AC18)," - ")</f>
        <v>223</v>
      </c>
      <c r="E18" s="240">
        <f>IF(ISNUMBER(IF(D_I="SI",Datos!J18,Datos!J18+Datos!AD18)),IF(D_I="SI",Datos!J18,Datos!J18+Datos!AD18)," - ")</f>
        <v>226</v>
      </c>
      <c r="F18" s="240">
        <f>IF(ISNUMBER(IF(D_I="SI",Datos!K18,Datos!K18+Datos!AE18)),IF(D_I="SI",Datos!K18,Datos!K18+Datos!AE18)," - ")</f>
        <v>219</v>
      </c>
      <c r="G18" s="1390" t="str">
        <f>IF(Datos!E18&lt;&gt;"",Datos!E18,Datos!D18)</f>
        <v>37</v>
      </c>
      <c r="H18" s="241">
        <f>IF(ISNUMBER(IF(D_I="SI",Datos!L18,Datos!L18+Datos!AF18)),IF(D_I="SI",Datos!L18,Datos!L18+Datos!AF18)," - ")</f>
        <v>231</v>
      </c>
      <c r="I18" s="1400" t="str">
        <f>IF(ISNUMBER(Datos!AS18/Datos!BM18),Datos!AS18/Datos!BM18," - ")</f>
        <v xml:space="preserve"> - </v>
      </c>
      <c r="J18" s="1401" t="str">
        <f>IF(ISNUMBER((Datos!BY18+Datos!BZ18)/Datos!CN18),(Datos!BY18+Datos!BZ18)/Datos!CN18," - ")</f>
        <v xml:space="preserve"> - </v>
      </c>
      <c r="K18" s="244">
        <f t="shared" si="3"/>
        <v>3.125E-2</v>
      </c>
      <c r="L18" s="1402">
        <f>IF(ISNUMBER(NºAsuntos!I18/NºAsuntos!G18),(NºAsuntos!I18/NºAsuntos!G18)*11," - ")</f>
        <v>11.602739726027398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2990</v>
      </c>
      <c r="D23" s="1407">
        <f>SUBTOTAL(9,D16:D22)</f>
        <v>2983</v>
      </c>
      <c r="E23" s="1408">
        <f>SUBTOTAL(9,E16:E22)</f>
        <v>2168</v>
      </c>
      <c r="F23" s="1408">
        <f>SUBTOTAL(9,F16:F22)</f>
        <v>2291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3070</v>
      </c>
      <c r="D31" s="1435">
        <f>SUBTOTAL(9,D9:D30)</f>
        <v>3063</v>
      </c>
      <c r="E31" s="1436">
        <f>SUBTOTAL(9,E9:E30)</f>
        <v>2216</v>
      </c>
      <c r="F31" s="1436">
        <f>SUBTOTAL(9,F9:F30)</f>
        <v>2325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MXSxpRh5Pvxb/8x+NqQ5szVrT0J2V+9p1KEontzUSQJaAWHBYuMYc40HR7Kie/B3s5RQQ+/rS8hOYX5QSwo6w==" saltValue="wfWq/0Yo/Vi/S1sq4leti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Z0zlAY+EEYSCvV1H+y2O0gIYj305ajvxVMMKetVjfRplJhYWiFGNO4YjORzdO1nBDB2XscYN6pwWEUB7BOvbQ==" saltValue="LluT2/LFVaHcUqf1++tj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4813</v>
      </c>
      <c r="J9" s="194">
        <v>2225</v>
      </c>
      <c r="K9" s="194">
        <v>2028</v>
      </c>
      <c r="L9" s="194">
        <v>5151</v>
      </c>
      <c r="M9" s="194">
        <v>651</v>
      </c>
      <c r="N9" s="194">
        <v>671</v>
      </c>
      <c r="O9" s="194">
        <v>1207</v>
      </c>
      <c r="P9" s="194">
        <v>563</v>
      </c>
      <c r="Q9" s="194">
        <v>1277</v>
      </c>
      <c r="R9" s="194">
        <v>7472</v>
      </c>
      <c r="S9" s="194">
        <v>4579</v>
      </c>
      <c r="T9" s="194">
        <v>1872</v>
      </c>
      <c r="U9" s="194">
        <v>2037</v>
      </c>
      <c r="V9" s="194">
        <v>4414</v>
      </c>
      <c r="W9" s="194">
        <v>488</v>
      </c>
      <c r="X9" s="201">
        <v>810</v>
      </c>
      <c r="Y9" s="204">
        <v>227</v>
      </c>
      <c r="Z9" s="194">
        <v>139</v>
      </c>
      <c r="AA9" s="194">
        <v>178</v>
      </c>
      <c r="AB9" s="194">
        <v>178</v>
      </c>
      <c r="AC9" s="194">
        <v>0</v>
      </c>
      <c r="AD9" s="194">
        <v>0</v>
      </c>
      <c r="AE9" s="194">
        <v>0</v>
      </c>
      <c r="AF9" s="201">
        <v>0</v>
      </c>
      <c r="AG9" s="204">
        <v>206</v>
      </c>
      <c r="AH9" s="194">
        <v>197</v>
      </c>
      <c r="AI9" s="194">
        <v>173</v>
      </c>
      <c r="AJ9" s="205">
        <v>230</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4785</v>
      </c>
      <c r="AZ9" s="133">
        <f>IF(ISNUMBER(IF(J_V="SI",T9,T9+AH9)),IF(J_V="SI",T9,T9+AH9)," - ")</f>
        <v>2069</v>
      </c>
      <c r="BA9" s="134">
        <f>IF(ISNUMBER(IF(J_V="SI",U9,U9+AI9)),IF(J_V="SI",U9,U9+AI9)," - ")</f>
        <v>2210</v>
      </c>
      <c r="BB9" s="134">
        <f>IF(ISNUMBER(IF(J_V="SI",V9,V9+AJ9)),IF(J_V="SI",V9,V9+AJ9)," - ")</f>
        <v>4644</v>
      </c>
      <c r="BC9" s="135">
        <f>IF(ISNUMBER(X9),X9," - ")</f>
        <v>810</v>
      </c>
      <c r="BD9" s="136">
        <f>IF(ISNUMBER(BA9/AZ9),BA9/AZ9," - ")</f>
        <v>1.068148864185597</v>
      </c>
      <c r="BE9" s="137">
        <f>IF(ISNUMBER(BB9/BA9),BB9/BA9, " - ")</f>
        <v>2.1013574660633485</v>
      </c>
      <c r="BF9" s="137">
        <f>IF(ISNUMBER(BC9/BA9),BC9/BA9, " - ")</f>
        <v>0.36651583710407237</v>
      </c>
      <c r="BG9" s="209">
        <f>IF(ISNUMBER((AY9+AZ9)/BA9),(AY9+AZ9)/BA9," - ")</f>
        <v>3.1013574660633485</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80</v>
      </c>
      <c r="J10" s="194">
        <v>48</v>
      </c>
      <c r="K10" s="194">
        <v>34</v>
      </c>
      <c r="L10" s="194">
        <v>94</v>
      </c>
      <c r="M10" s="194">
        <v>12</v>
      </c>
      <c r="N10" s="194">
        <v>25</v>
      </c>
      <c r="O10" s="194">
        <v>6</v>
      </c>
      <c r="P10" s="194">
        <v>10</v>
      </c>
      <c r="Q10" s="194">
        <v>9</v>
      </c>
      <c r="R10" s="194">
        <v>78</v>
      </c>
      <c r="S10" s="194">
        <v>67</v>
      </c>
      <c r="T10" s="194">
        <v>38</v>
      </c>
      <c r="U10" s="194">
        <v>39</v>
      </c>
      <c r="V10" s="194">
        <v>66</v>
      </c>
      <c r="W10" s="194">
        <v>14</v>
      </c>
      <c r="X10" s="201">
        <v>24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67</v>
      </c>
      <c r="AZ10" s="139">
        <f t="shared" si="0"/>
        <v>38</v>
      </c>
      <c r="BA10" s="139">
        <f t="shared" si="0"/>
        <v>39</v>
      </c>
      <c r="BB10" s="139">
        <f t="shared" si="0"/>
        <v>66</v>
      </c>
      <c r="BC10" s="135">
        <f t="shared" si="0"/>
        <v>14</v>
      </c>
      <c r="BD10" s="136">
        <f>IF(ISNUMBER(BA10/AZ10),BA10/AZ10," - ")</f>
        <v>1.0263157894736843</v>
      </c>
      <c r="BE10" s="137">
        <f>IF(ISNUMBER(BB10/BA10),BB10/BA10, " - ")</f>
        <v>1.6923076923076923</v>
      </c>
      <c r="BF10" s="137">
        <f>IF(ISNUMBER(BC10/BA10),BC10/BA10, " - ")</f>
        <v>0.35897435897435898</v>
      </c>
      <c r="BG10" s="209">
        <f>IF(ISNUMBER((AY10+AZ10)/BA10),(AY10+AZ10)/BA10," - ")</f>
        <v>2.6923076923076925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412</v>
      </c>
      <c r="J11" s="196">
        <v>404</v>
      </c>
      <c r="K11" s="196">
        <v>342</v>
      </c>
      <c r="L11" s="196">
        <v>474</v>
      </c>
      <c r="M11" s="196">
        <v>191</v>
      </c>
      <c r="N11" s="196">
        <v>239</v>
      </c>
      <c r="O11" s="194">
        <v>158</v>
      </c>
      <c r="P11" s="196">
        <v>60</v>
      </c>
      <c r="Q11" s="196">
        <v>79</v>
      </c>
      <c r="R11" s="196">
        <v>458</v>
      </c>
      <c r="S11" s="196">
        <v>601</v>
      </c>
      <c r="T11" s="196">
        <v>367</v>
      </c>
      <c r="U11" s="196">
        <v>359</v>
      </c>
      <c r="V11" s="196">
        <v>559</v>
      </c>
      <c r="W11" s="196">
        <v>185</v>
      </c>
      <c r="X11" s="202">
        <v>272</v>
      </c>
      <c r="Y11" s="204">
        <v>47</v>
      </c>
      <c r="Z11" s="194">
        <v>196</v>
      </c>
      <c r="AA11" s="194">
        <v>202</v>
      </c>
      <c r="AB11" s="194">
        <v>41</v>
      </c>
      <c r="AC11" s="196">
        <v>0</v>
      </c>
      <c r="AD11" s="196">
        <v>0</v>
      </c>
      <c r="AE11" s="196">
        <v>0</v>
      </c>
      <c r="AF11" s="202">
        <v>0</v>
      </c>
      <c r="AG11" s="215">
        <v>49</v>
      </c>
      <c r="AH11" s="196">
        <v>187</v>
      </c>
      <c r="AI11" s="196">
        <v>187</v>
      </c>
      <c r="AJ11" s="216">
        <v>49</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650</v>
      </c>
      <c r="AZ11" s="137">
        <f t="shared" si="1"/>
        <v>554</v>
      </c>
      <c r="BA11" s="137">
        <f t="shared" si="1"/>
        <v>546</v>
      </c>
      <c r="BB11" s="137">
        <f t="shared" si="1"/>
        <v>608</v>
      </c>
      <c r="BC11" s="135">
        <f>IF(ISNUMBER(X11),X11," - ")</f>
        <v>272</v>
      </c>
      <c r="BD11" s="136">
        <f t="shared" ref="BD11:BD13" si="2">IF(ISNUMBER(BA11/AZ11),BA11/AZ11," - ")</f>
        <v>0.98555956678700363</v>
      </c>
      <c r="BE11" s="137">
        <f t="shared" ref="BE11:BE13" si="3">IF(ISNUMBER(BB11/BA11),BB11/BA11, " - ")</f>
        <v>1.1135531135531136</v>
      </c>
      <c r="BF11" s="137">
        <f t="shared" ref="BF11:BF13" si="4">IF(ISNUMBER(BC11/BA11),BC11/BA11, " - ")</f>
        <v>0.49816849816849818</v>
      </c>
      <c r="BG11" s="209">
        <f t="shared" ref="BG11:BG13" si="5">IF(ISNUMBER((AY11+AZ11)/BA11),(AY11+AZ11)/BA11," - ")</f>
        <v>2.2051282051282053</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5305</v>
      </c>
      <c r="J14" s="197">
        <f t="shared" si="7"/>
        <v>2677</v>
      </c>
      <c r="K14" s="197">
        <f t="shared" si="7"/>
        <v>2404</v>
      </c>
      <c r="L14" s="197">
        <f t="shared" si="7"/>
        <v>5719</v>
      </c>
      <c r="M14" s="197">
        <f t="shared" si="7"/>
        <v>854</v>
      </c>
      <c r="N14" s="197">
        <f t="shared" si="7"/>
        <v>935</v>
      </c>
      <c r="O14" s="197">
        <f t="shared" si="7"/>
        <v>1371</v>
      </c>
      <c r="P14" s="197">
        <f t="shared" si="7"/>
        <v>633</v>
      </c>
      <c r="Q14" s="197">
        <f t="shared" si="7"/>
        <v>1365</v>
      </c>
      <c r="R14" s="197">
        <f t="shared" si="7"/>
        <v>8008</v>
      </c>
      <c r="S14" s="197">
        <f t="shared" si="7"/>
        <v>5247</v>
      </c>
      <c r="T14" s="197">
        <f t="shared" si="7"/>
        <v>2277</v>
      </c>
      <c r="U14" s="197">
        <f t="shared" si="7"/>
        <v>2435</v>
      </c>
      <c r="V14" s="197">
        <f t="shared" si="7"/>
        <v>5039</v>
      </c>
      <c r="W14" s="197">
        <f t="shared" si="7"/>
        <v>687</v>
      </c>
      <c r="X14" s="197">
        <f t="shared" si="7"/>
        <v>1106</v>
      </c>
      <c r="Y14" s="197">
        <f t="shared" si="7"/>
        <v>274</v>
      </c>
      <c r="Z14" s="197">
        <f t="shared" si="7"/>
        <v>335</v>
      </c>
      <c r="AA14" s="197">
        <f t="shared" si="7"/>
        <v>380</v>
      </c>
      <c r="AB14" s="197">
        <f t="shared" si="7"/>
        <v>219</v>
      </c>
      <c r="AC14" s="197">
        <f t="shared" si="7"/>
        <v>0</v>
      </c>
      <c r="AD14" s="197">
        <f t="shared" si="7"/>
        <v>0</v>
      </c>
      <c r="AE14" s="197">
        <f t="shared" si="7"/>
        <v>0</v>
      </c>
      <c r="AF14" s="197">
        <f>SUBTOTAL(9,AF9:AF13)</f>
        <v>0</v>
      </c>
      <c r="AG14" s="197">
        <f t="shared" ref="AG14:AT14" si="8">SUBTOTAL(9,AG8:AG13)</f>
        <v>255</v>
      </c>
      <c r="AH14" s="197">
        <f t="shared" si="8"/>
        <v>384</v>
      </c>
      <c r="AI14" s="197">
        <f t="shared" si="8"/>
        <v>360</v>
      </c>
      <c r="AJ14" s="197">
        <f t="shared" si="8"/>
        <v>279</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5502</v>
      </c>
      <c r="AZ14" s="197">
        <f>SUBTOTAL(9,AZ8:AZ13)</f>
        <v>2661</v>
      </c>
      <c r="BA14" s="197">
        <f>SUBTOTAL(9,BA8:BA13)</f>
        <v>2795</v>
      </c>
      <c r="BB14" s="197">
        <f>SUBTOTAL(9,BB8:BB13)</f>
        <v>5318</v>
      </c>
      <c r="BC14" s="197">
        <f>SUBTOTAL(9,BC8:BC13)</f>
        <v>1096</v>
      </c>
      <c r="BD14" s="219">
        <f>IF(ISNUMBER(BA14/AZ14),BA14/AZ14," - ")</f>
        <v>1.0503570086433671</v>
      </c>
      <c r="BE14" s="220">
        <f>IF(ISNUMBER(BB14/BA14),BB14/BA14, " - ")</f>
        <v>1.9026833631484794</v>
      </c>
      <c r="BF14" s="220">
        <f>IF(ISNUMBER(BC14/BA14),BC14/BA14, " - ")</f>
        <v>0.39212880143112699</v>
      </c>
      <c r="BG14" s="221">
        <f>IF(ISNUMBER((AY14+AZ14)/BA14),(AY14+AZ14)/BA14," - ")</f>
        <v>2.9205724508050088</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2760</v>
      </c>
      <c r="J16" s="196">
        <v>1942</v>
      </c>
      <c r="K16" s="196">
        <v>2072</v>
      </c>
      <c r="L16" s="196">
        <v>2636</v>
      </c>
      <c r="M16" s="196">
        <v>367</v>
      </c>
      <c r="N16" s="196">
        <v>829</v>
      </c>
      <c r="O16" s="194">
        <v>79</v>
      </c>
      <c r="P16" s="196">
        <v>199</v>
      </c>
      <c r="Q16" s="196">
        <v>140</v>
      </c>
      <c r="R16" s="196">
        <v>455</v>
      </c>
      <c r="S16" s="196">
        <v>3032</v>
      </c>
      <c r="T16" s="196">
        <v>1531</v>
      </c>
      <c r="U16" s="196">
        <v>1667</v>
      </c>
      <c r="V16" s="196">
        <v>2902</v>
      </c>
      <c r="W16" s="196">
        <v>394</v>
      </c>
      <c r="X16" s="202">
        <v>691</v>
      </c>
      <c r="Y16" s="215">
        <v>0</v>
      </c>
      <c r="Z16" s="196">
        <v>0</v>
      </c>
      <c r="AA16" s="196">
        <v>0</v>
      </c>
      <c r="AB16" s="196">
        <v>0</v>
      </c>
      <c r="AC16" s="196">
        <v>1</v>
      </c>
      <c r="AD16" s="196">
        <v>76</v>
      </c>
      <c r="AE16" s="196">
        <v>75</v>
      </c>
      <c r="AF16" s="202">
        <v>2</v>
      </c>
      <c r="AG16" s="215">
        <v>0</v>
      </c>
      <c r="AH16" s="196">
        <v>0</v>
      </c>
      <c r="AI16" s="196">
        <v>0</v>
      </c>
      <c r="AJ16" s="216">
        <v>0</v>
      </c>
      <c r="AK16" s="195">
        <v>1</v>
      </c>
      <c r="AL16" s="196">
        <v>66</v>
      </c>
      <c r="AM16" s="196">
        <v>65</v>
      </c>
      <c r="AN16" s="202">
        <v>2</v>
      </c>
      <c r="AO16" s="283">
        <v>3</v>
      </c>
      <c r="AP16" s="168">
        <v>3</v>
      </c>
      <c r="AQ16" s="168">
        <v>3</v>
      </c>
      <c r="AR16" s="168">
        <v>3</v>
      </c>
      <c r="AS16" s="381" t="s">
        <v>702</v>
      </c>
      <c r="AT16" s="216" t="s">
        <v>424</v>
      </c>
      <c r="AU16" s="215"/>
      <c r="AV16" s="216"/>
      <c r="AW16" s="215"/>
      <c r="AX16" s="216"/>
      <c r="AY16" s="138">
        <f t="shared" ref="AY16:BB17" si="10">IF(ISNUMBER(IF(D_I="SI",S16,S16+AK16)),IF(D_I="SI",S16,S16+AK16)," - ")</f>
        <v>3032</v>
      </c>
      <c r="AZ16" s="139">
        <f t="shared" si="10"/>
        <v>1531</v>
      </c>
      <c r="BA16" s="139">
        <f t="shared" si="10"/>
        <v>1667</v>
      </c>
      <c r="BB16" s="139">
        <f t="shared" si="10"/>
        <v>2902</v>
      </c>
      <c r="BC16" s="135">
        <f>IF(ISNUMBER(W16),W16," - ")</f>
        <v>394</v>
      </c>
      <c r="BD16" s="136">
        <f>IF(ISNUMBER(BA16/AZ16),BA16/AZ16," - ")</f>
        <v>1.0888308295231874</v>
      </c>
      <c r="BE16" s="137">
        <f>IF(ISNUMBER(BB16/BA16),BB16/BA16, " - ")</f>
        <v>1.7408518296340731</v>
      </c>
      <c r="BF16" s="137">
        <f>IF(ISNUMBER(BC16/BA16),BC16/BA16, " - ")</f>
        <v>0.23635272945410918</v>
      </c>
      <c r="BG16" s="209">
        <f t="shared" ref="BG16:BG22" si="11">IF(ISNUMBER((AY16+AZ16)/BA16),(AY16+AZ16)/BA16," - ")</f>
        <v>2.7372525494901021</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223</v>
      </c>
      <c r="J18" s="196">
        <v>226</v>
      </c>
      <c r="K18" s="196">
        <v>219</v>
      </c>
      <c r="L18" s="196">
        <v>231</v>
      </c>
      <c r="M18" s="196">
        <v>6</v>
      </c>
      <c r="N18" s="196">
        <v>116</v>
      </c>
      <c r="O18" s="196">
        <v>1</v>
      </c>
      <c r="P18" s="196">
        <v>2</v>
      </c>
      <c r="Q18" s="196">
        <v>1</v>
      </c>
      <c r="R18" s="196">
        <v>1</v>
      </c>
      <c r="S18" s="196">
        <v>244</v>
      </c>
      <c r="T18" s="196">
        <v>211</v>
      </c>
      <c r="U18" s="196">
        <v>294</v>
      </c>
      <c r="V18" s="196">
        <v>161</v>
      </c>
      <c r="W18" s="196">
        <v>8</v>
      </c>
      <c r="X18" s="202">
        <v>159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244</v>
      </c>
      <c r="AZ18" s="139">
        <f t="shared" si="15"/>
        <v>211</v>
      </c>
      <c r="BA18" s="139">
        <f t="shared" si="15"/>
        <v>294</v>
      </c>
      <c r="BB18" s="139">
        <f t="shared" si="15"/>
        <v>161</v>
      </c>
      <c r="BC18" s="135">
        <f>IF(ISNUMBER(W18),W18," - ")</f>
        <v>8</v>
      </c>
      <c r="BD18" s="136">
        <f>IF(ISNUMBER(BA18/AZ18),BA18/AZ18," - ")</f>
        <v>1.3933649289099526</v>
      </c>
      <c r="BE18" s="137">
        <f>IF(ISNUMBER(BB18/BA18),BB18/BA18, " - ")</f>
        <v>0.54761904761904767</v>
      </c>
      <c r="BF18" s="137">
        <f>IF(ISNUMBER(BC18/BA18),BC18/BA18, " - ")</f>
        <v>2.7210884353741496E-2</v>
      </c>
      <c r="BG18" s="209">
        <f>IF(ISNUMBER((AY18+AZ18)/BA18),(AY18+AZ18)/BA18," - ")</f>
        <v>1.5476190476190477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2983</v>
      </c>
      <c r="J23" s="197">
        <f t="shared" si="21"/>
        <v>2168</v>
      </c>
      <c r="K23" s="197">
        <f t="shared" si="21"/>
        <v>2291</v>
      </c>
      <c r="L23" s="197">
        <f t="shared" si="21"/>
        <v>2867</v>
      </c>
      <c r="M23" s="197">
        <f t="shared" si="21"/>
        <v>373</v>
      </c>
      <c r="N23" s="197">
        <f t="shared" si="21"/>
        <v>945</v>
      </c>
      <c r="O23" s="197">
        <f t="shared" si="21"/>
        <v>80</v>
      </c>
      <c r="P23" s="197">
        <f t="shared" si="21"/>
        <v>201</v>
      </c>
      <c r="Q23" s="197">
        <f t="shared" si="21"/>
        <v>141</v>
      </c>
      <c r="R23" s="197">
        <f t="shared" si="21"/>
        <v>456</v>
      </c>
      <c r="S23" s="197">
        <f t="shared" si="21"/>
        <v>3276</v>
      </c>
      <c r="T23" s="197">
        <f t="shared" si="21"/>
        <v>1742</v>
      </c>
      <c r="U23" s="197">
        <f t="shared" si="21"/>
        <v>1961</v>
      </c>
      <c r="V23" s="197">
        <f t="shared" si="21"/>
        <v>3063</v>
      </c>
      <c r="W23" s="197">
        <f t="shared" si="21"/>
        <v>402</v>
      </c>
      <c r="X23" s="197">
        <f t="shared" si="21"/>
        <v>850</v>
      </c>
      <c r="Y23" s="197">
        <f t="shared" si="21"/>
        <v>0</v>
      </c>
      <c r="Z23" s="197">
        <f t="shared" si="21"/>
        <v>0</v>
      </c>
      <c r="AA23" s="197">
        <f t="shared" si="21"/>
        <v>0</v>
      </c>
      <c r="AB23" s="197">
        <f t="shared" si="21"/>
        <v>0</v>
      </c>
      <c r="AC23" s="197">
        <f t="shared" si="21"/>
        <v>1</v>
      </c>
      <c r="AD23" s="197">
        <f t="shared" si="21"/>
        <v>76</v>
      </c>
      <c r="AE23" s="197">
        <f t="shared" si="21"/>
        <v>75</v>
      </c>
      <c r="AF23" s="197">
        <f t="shared" si="21"/>
        <v>2</v>
      </c>
      <c r="AG23" s="197">
        <f t="shared" si="21"/>
        <v>0</v>
      </c>
      <c r="AH23" s="197">
        <f t="shared" si="21"/>
        <v>0</v>
      </c>
      <c r="AI23" s="197">
        <f t="shared" si="21"/>
        <v>0</v>
      </c>
      <c r="AJ23" s="197">
        <f t="shared" si="21"/>
        <v>0</v>
      </c>
      <c r="AK23" s="197">
        <f t="shared" si="21"/>
        <v>1</v>
      </c>
      <c r="AL23" s="197">
        <f t="shared" si="21"/>
        <v>66</v>
      </c>
      <c r="AM23" s="197">
        <f t="shared" si="21"/>
        <v>65</v>
      </c>
      <c r="AN23" s="197">
        <f t="shared" si="21"/>
        <v>2</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3276</v>
      </c>
      <c r="AZ23" s="197">
        <f>SUBTOTAL(9,AZ15:AZ22)</f>
        <v>1742</v>
      </c>
      <c r="BA23" s="197">
        <f>SUBTOTAL(9,BA15:BA22)</f>
        <v>1961</v>
      </c>
      <c r="BB23" s="197">
        <f>SUBTOTAL(9,BB15:BB22)</f>
        <v>3063</v>
      </c>
      <c r="BC23" s="197">
        <f>SUBTOTAL(9,BC15:BC22)</f>
        <v>402</v>
      </c>
      <c r="BD23" s="219">
        <f>IF(ISNUMBER(BA23/AZ23),BA23/AZ23," - ")</f>
        <v>1.1257175660160734</v>
      </c>
      <c r="BE23" s="220">
        <f>IF(ISNUMBER(BB23/BA23),BB23/BA23, " - ")</f>
        <v>1.5619581845996939</v>
      </c>
      <c r="BF23" s="220">
        <f>IF(ISNUMBER(BC23/BA23),BC23/BA23, " - ")</f>
        <v>0.20499745028046915</v>
      </c>
      <c r="BG23" s="221">
        <f>IF(ISNUMBER((AY23+AZ23)/BA23),(AY23+AZ23)/BA23," - ")</f>
        <v>2.5588985211626722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8288</v>
      </c>
      <c r="J31" s="144">
        <f t="shared" si="36"/>
        <v>4845</v>
      </c>
      <c r="K31" s="144">
        <f t="shared" si="36"/>
        <v>4695</v>
      </c>
      <c r="L31" s="144">
        <f t="shared" si="36"/>
        <v>8586</v>
      </c>
      <c r="M31" s="144">
        <f t="shared" si="36"/>
        <v>1227</v>
      </c>
      <c r="N31" s="144">
        <f t="shared" si="36"/>
        <v>1880</v>
      </c>
      <c r="O31" s="144">
        <f t="shared" si="36"/>
        <v>1451</v>
      </c>
      <c r="P31" s="144">
        <f t="shared" si="36"/>
        <v>834</v>
      </c>
      <c r="Q31" s="144">
        <f t="shared" si="36"/>
        <v>1506</v>
      </c>
      <c r="R31" s="144">
        <f t="shared" si="36"/>
        <v>8464</v>
      </c>
      <c r="S31" s="144">
        <f t="shared" si="36"/>
        <v>8523</v>
      </c>
      <c r="T31" s="144">
        <f t="shared" si="36"/>
        <v>4019</v>
      </c>
      <c r="U31" s="144">
        <f t="shared" si="36"/>
        <v>4396</v>
      </c>
      <c r="V31" s="144">
        <f t="shared" si="36"/>
        <v>8102</v>
      </c>
      <c r="W31" s="144">
        <f t="shared" si="36"/>
        <v>1089</v>
      </c>
      <c r="X31" s="144">
        <f t="shared" si="36"/>
        <v>1956</v>
      </c>
      <c r="Y31" s="144">
        <f t="shared" si="36"/>
        <v>274</v>
      </c>
      <c r="Z31" s="144">
        <f t="shared" si="36"/>
        <v>335</v>
      </c>
      <c r="AA31" s="144">
        <f t="shared" si="36"/>
        <v>380</v>
      </c>
      <c r="AB31" s="144">
        <f t="shared" si="36"/>
        <v>219</v>
      </c>
      <c r="AC31" s="144">
        <f t="shared" si="36"/>
        <v>1</v>
      </c>
      <c r="AD31" s="144">
        <f t="shared" si="36"/>
        <v>76</v>
      </c>
      <c r="AE31" s="144">
        <f t="shared" si="36"/>
        <v>75</v>
      </c>
      <c r="AF31" s="144">
        <f t="shared" si="36"/>
        <v>2</v>
      </c>
      <c r="AG31" s="144">
        <f t="shared" si="36"/>
        <v>255</v>
      </c>
      <c r="AH31" s="144">
        <f t="shared" si="36"/>
        <v>384</v>
      </c>
      <c r="AI31" s="144">
        <f t="shared" si="36"/>
        <v>360</v>
      </c>
      <c r="AJ31" s="144">
        <f t="shared" si="36"/>
        <v>279</v>
      </c>
      <c r="AK31" s="144">
        <f t="shared" si="36"/>
        <v>1</v>
      </c>
      <c r="AL31" s="144">
        <f t="shared" si="36"/>
        <v>66</v>
      </c>
      <c r="AM31" s="144">
        <f t="shared" si="36"/>
        <v>65</v>
      </c>
      <c r="AN31" s="224">
        <f t="shared" si="36"/>
        <v>2</v>
      </c>
      <c r="AO31" s="225">
        <v>12</v>
      </c>
      <c r="AP31" s="225">
        <v>12</v>
      </c>
      <c r="AQ31" s="225">
        <v>12</v>
      </c>
      <c r="AR31" s="225">
        <v>12</v>
      </c>
      <c r="AS31" s="166">
        <f t="shared" si="36"/>
        <v>0</v>
      </c>
      <c r="AT31" s="166">
        <f t="shared" si="36"/>
        <v>0</v>
      </c>
      <c r="AU31" s="225"/>
      <c r="AV31" s="226"/>
      <c r="AW31" s="225"/>
      <c r="AX31" s="226"/>
      <c r="AY31" s="143">
        <f>SUBTOTAL(9,AY9:AY30)</f>
        <v>8778</v>
      </c>
      <c r="AZ31" s="144">
        <f>SUBTOTAL(9,AZ9:AZ30)</f>
        <v>4403</v>
      </c>
      <c r="BA31" s="144">
        <f>SUBTOTAL(9,BA9:BA30)</f>
        <v>4756</v>
      </c>
      <c r="BB31" s="144">
        <f>SUBTOTAL(9,BB9:BB30)</f>
        <v>8381</v>
      </c>
      <c r="BC31" s="145">
        <f>SUBTOTAL(9,BC9:BC30)</f>
        <v>1498</v>
      </c>
      <c r="BD31" s="227">
        <f>IF(ISNUMBER(BA31/AZ31),BA31/AZ31," - ")</f>
        <v>1.0801726095843742</v>
      </c>
      <c r="BE31" s="224">
        <f>IF(ISNUMBER(BB31/BA31),BB31/BA31, " - ")</f>
        <v>1.7621951219512195</v>
      </c>
      <c r="BF31" s="224">
        <f>IF(ISNUMBER(BC31/BA31),BC31/BA31, " - ")</f>
        <v>0.31497056349873842</v>
      </c>
      <c r="BG31" s="145">
        <f>IF(ISNUMBER((AY31+AZ31)/BA31),(AY31+AZ31)/BA31," - ")</f>
        <v>2.7714465937762824</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QUenns+o0QUEjeih2QaUZ4YDAvhQrnyjKOmd2cNBVLqkI8pLEZZak8cU+vL66L3reddXhTNZeFfyh/+w2Ny9g==" saltValue="CzZAwhZrVGWPt9TCbdpq3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QLYMHUDBK4+MfxWsM9tCRz+snGAYno5FN0Ntoi77Hqg9Xt7SyVIJ6V9tfq1PhL58qj8dANn7QTsMekC/BB85g==" saltValue="X+joJdb5u1/WRNfN+9pe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ALBACETE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139</v>
      </c>
      <c r="O9" s="549"/>
      <c r="P9" s="549"/>
      <c r="Q9" s="547">
        <f>IF(ISNUMBER(Datos!P9),Datos!P9,0)</f>
        <v>563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1277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178</v>
      </c>
      <c r="AI9" s="549" t="str">
        <f>IF(ISNUMBER(Datos!CD9),Datos!CD9,"-")</f>
        <v>-</v>
      </c>
      <c r="AJ9" s="549" t="str">
        <f>IF(ISNUMBER(Datos!EN9),Datos!EN9," - ")</f>
        <v xml:space="preserve"> - </v>
      </c>
      <c r="AK9" s="549"/>
      <c r="AL9" s="550"/>
      <c r="AM9" s="766">
        <f>IF(ISNUMBER(Datos!R9),Datos!R9," - ")</f>
        <v>7472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651</v>
      </c>
      <c r="BD9" s="693">
        <f>IF(ISNUMBER(Datos!N9),Datos!N9," - ")</f>
        <v>671</v>
      </c>
      <c r="BE9" s="693" t="str">
        <f>IF(ISNUMBER(Datos!BW9),Datos!BW9," - ")</f>
        <v xml:space="preserve"> - </v>
      </c>
      <c r="BF9" s="762" t="str">
        <f>IF(ISNUMBER(Datos!BX9),Datos!BX9," - ")</f>
        <v xml:space="preserve"> - </v>
      </c>
      <c r="BG9" s="763">
        <f>IF(ISNUMBER(IF(J_V="SI",Datos!K9/Datos!J9,(Datos!K9+Datos!AA9)/(Datos!J9+Datos!Z9))),IF(J_V="SI",Datos!K9/Datos!J9,(Datos!K9+Datos!AA9)/(Datos!J9+Datos!Z9))," - ")</f>
        <v>0.93316412859560072</v>
      </c>
      <c r="BH9" s="764">
        <f>IF(ISNUMBER(((IF(J_V="SI",Datos!L9/Datos!K9,(Datos!L9+Datos!AB9)/(Datos!K9+Datos!AA9)))*11)/factor_trimestre),((IF(J_V="SI",Datos!L9/Datos!K9,(Datos!L9+Datos!AB9)/(Datos!K9+Datos!AA9)))*11)/factor_trimestre," - ")</f>
        <v>7.247053490480508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-8.7222086489127784E-2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80</v>
      </c>
      <c r="G10" s="543">
        <f>IF(ISNUMBER(Datos!I10),Datos!I10," - ")</f>
        <v>80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34</v>
      </c>
      <c r="AC10" s="547">
        <f>IF(ISNUMBER(Datos!Q10),Datos!Q10," - ")</f>
        <v>9</v>
      </c>
      <c r="AD10" s="549"/>
      <c r="AE10" s="563"/>
      <c r="AF10" s="551">
        <f>IF(ISNUMBER(Datos!L10),Datos!L10,"-")</f>
        <v>94</v>
      </c>
      <c r="AG10" s="549"/>
      <c r="AH10" s="549"/>
      <c r="AI10" s="549"/>
      <c r="AJ10" s="549"/>
      <c r="AK10" s="549"/>
      <c r="AL10" s="550"/>
      <c r="AM10" s="766">
        <f>IF(ISNUMBER(Datos!R10),Datos!R10," - ")</f>
        <v>78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25</v>
      </c>
      <c r="BE10" s="693" t="str">
        <f>IF(ISNUMBER(Datos!BW10),Datos!BW10," - ")</f>
        <v xml:space="preserve"> - </v>
      </c>
      <c r="BF10" s="762" t="str">
        <f>IF(ISNUMBER(Datos!BX10),Datos!BX10," - ")</f>
        <v xml:space="preserve"> - </v>
      </c>
      <c r="BG10" s="763">
        <f>IF(ISNUMBER(Datos!K10/Datos!J10),Datos!K10/Datos!J10," - ")</f>
        <v>0.70833333333333337</v>
      </c>
      <c r="BH10" s="764">
        <f>IF(ISNUMBER(((Datos!L10/Datos!K10)*11)/factor_trimestre),((Datos!L10/Datos!K10)*11)/factor_trimestre," - ")</f>
        <v>8.2941176470588243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1.2987012987012988E-2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196</v>
      </c>
      <c r="O11" s="549"/>
      <c r="P11" s="549"/>
      <c r="Q11" s="547">
        <f>IF(ISNUMBER(Datos!P11),Datos!P11,0)</f>
        <v>60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79</v>
      </c>
      <c r="AD11" s="549"/>
      <c r="AE11" s="563"/>
      <c r="AF11" s="551" t="str">
        <f>IF(ISNUMBER(IF(J_V="SI",Datos!L11,Datos!L11+Datos!AB11)-IF(Monitorios="SI",Datos!CD11,0)),
                          IF(J_V="SI",Datos!L11,Datos!L11+Datos!AB11)-IF(Monitorios="SI",Datos!CD11,0),
                          " - ")</f>
        <v xml:space="preserve"> - </v>
      </c>
      <c r="AG11" s="549"/>
      <c r="AH11" s="549">
        <f>IF(ISNUMBER(Datos!AB11),Datos!AB11,"-")</f>
        <v>41</v>
      </c>
      <c r="AI11" s="549"/>
      <c r="AJ11" s="549"/>
      <c r="AK11" s="549"/>
      <c r="AL11" s="550"/>
      <c r="AM11" s="766">
        <f>IF(ISNUMBER(Datos!R11),Datos!R11," - ")</f>
        <v>458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191</v>
      </c>
      <c r="BD11" s="693">
        <f>IF(ISNUMBER(Datos!N11),Datos!N11," - ")</f>
        <v>239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0.90666666666666662</v>
      </c>
      <c r="BH11" s="764">
        <f>IF(ISNUMBER(((IF(J_V="SI",Datos!L11/Datos!K11,(Datos!L11+Datos!AB11)/(Datos!K11+Datos!AA11)))*11)/factor_trimestre),((IF(J_V="SI",Datos!L11/Datos!K11,(Datos!L11+Datos!AB11)/(Datos!K11+Datos!AA11)))*11)/factor_trimestre," - ")</f>
        <v>2.8400735294117649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-3.9832285115303984E-2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80</v>
      </c>
      <c r="G14" s="1197">
        <f t="shared" si="1"/>
        <v>80</v>
      </c>
      <c r="H14" s="1198">
        <f t="shared" si="1"/>
        <v>0</v>
      </c>
      <c r="I14" s="1197">
        <f t="shared" si="1"/>
        <v>0</v>
      </c>
      <c r="J14" s="1164">
        <f t="shared" si="1"/>
        <v>0</v>
      </c>
      <c r="K14" s="1164">
        <f t="shared" si="1"/>
        <v>0</v>
      </c>
      <c r="L14" s="1198">
        <f t="shared" si="1"/>
        <v>0</v>
      </c>
      <c r="M14" s="1198">
        <f t="shared" si="1"/>
        <v>0</v>
      </c>
      <c r="N14" s="1198">
        <f t="shared" si="1"/>
        <v>335</v>
      </c>
      <c r="O14" s="1199">
        <f t="shared" si="1"/>
        <v>0</v>
      </c>
      <c r="P14" s="1199">
        <f t="shared" si="1"/>
        <v>0</v>
      </c>
      <c r="Q14" s="1198">
        <f t="shared" si="1"/>
        <v>633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34</v>
      </c>
      <c r="AC14" s="1198">
        <f t="shared" si="2"/>
        <v>1365</v>
      </c>
      <c r="AD14" s="1198">
        <f t="shared" si="2"/>
        <v>0</v>
      </c>
      <c r="AE14" s="1198">
        <f t="shared" si="2"/>
        <v>0</v>
      </c>
      <c r="AF14" s="1198">
        <f t="shared" si="2"/>
        <v>94</v>
      </c>
      <c r="AG14" s="1198">
        <f t="shared" si="2"/>
        <v>0</v>
      </c>
      <c r="AH14" s="1198">
        <f t="shared" si="2"/>
        <v>219</v>
      </c>
      <c r="AI14" s="1198">
        <f t="shared" si="2"/>
        <v>0</v>
      </c>
      <c r="AJ14" s="1198">
        <f t="shared" si="2"/>
        <v>0</v>
      </c>
      <c r="AK14" s="1198">
        <f t="shared" si="2"/>
        <v>0</v>
      </c>
      <c r="AL14" s="1198">
        <f t="shared" si="2"/>
        <v>0</v>
      </c>
      <c r="AM14" s="1198">
        <f t="shared" si="2"/>
        <v>8008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854</v>
      </c>
      <c r="BD14" s="1198">
        <f t="shared" si="2"/>
        <v>935</v>
      </c>
      <c r="BE14" s="1198">
        <f t="shared" si="2"/>
        <v>0</v>
      </c>
      <c r="BF14" s="1198">
        <f t="shared" si="2"/>
        <v>0</v>
      </c>
      <c r="BG14" s="1198">
        <f>IF(ISNUMBER(Datos!K14/Datos!J14),Datos!K14/Datos!J14," - ")</f>
        <v>0.89802017183414273</v>
      </c>
      <c r="BH14" s="1202">
        <f>IF(ISNUMBER(((Datos!L14/Datos!K14)*11)/factor_trimestre),((Datos!L14/Datos!K14)*11)/factor_trimestre," - ")</f>
        <v>7.1368552412645592</v>
      </c>
      <c r="BI14" s="1198">
        <f>IF(ISNUMBER('Resol  Asuntos'!D14/NºAsuntos!G14),'Resol  Asuntos'!D14/NºAsuntos!G14," - ")</f>
        <v>0.3067528735632184</v>
      </c>
      <c r="BJ14" s="1198" t="str">
        <f>IF(ISNUMBER(Datos!CI14/Datos!CJ14),Datos!CI14/Datos!CJ14," - ")</f>
        <v xml:space="preserve"> - </v>
      </c>
      <c r="BK14" s="1198">
        <f>SUBTOTAL(9,BK8:BK13)</f>
        <v>0</v>
      </c>
      <c r="BL14" s="1198">
        <f>IF(ISNUMBER((I14-AB14+L14)/(F14)),(I14-AB14+L14)/(F14)," - ")</f>
        <v>-0.42499999999999999</v>
      </c>
      <c r="BM14" s="1203">
        <f>SUBTOTAL(9,BM9:BM13)</f>
        <v>-0.11406735861741878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2766</v>
      </c>
      <c r="G16" s="743">
        <f>IF(ISNUMBER(IF(D_I="SI",Datos!I16,Datos!I16+Datos!AC16)),IF(D_I="SI",Datos!I16,Datos!I16+Datos!AC16)," - ")</f>
        <v>2760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199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2072</v>
      </c>
      <c r="AC16" s="240">
        <f>IF(ISNUMBER(Datos!Q16),Datos!Q16," - ")</f>
        <v>140</v>
      </c>
      <c r="AD16" s="374"/>
      <c r="AE16" s="562"/>
      <c r="AF16" s="741">
        <f>IF(ISNUMBER(IF(D_I="SI",Datos!L16,Datos!L16+Datos!AF16)),IF(D_I="SI",Datos!L16,Datos!L16+Datos!AF16)," - ")</f>
        <v>2636</v>
      </c>
      <c r="AG16" s="374"/>
      <c r="AH16" s="374"/>
      <c r="AI16" s="374"/>
      <c r="AJ16" s="549"/>
      <c r="AK16" s="374"/>
      <c r="AL16" s="545"/>
      <c r="AM16" s="375">
        <f>IF(ISNUMBER(Datos!R16),Datos!R16," - ")</f>
        <v>455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367</v>
      </c>
      <c r="BD16" s="243">
        <f>IF(ISNUMBER(Datos!N16),Datos!N16," - ")</f>
        <v>829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1.066941297631308</v>
      </c>
      <c r="BH16" s="764">
        <f>IF(ISNUMBER(((IF(D_I="SI",Datos!L16/Datos!K16,(Datos!L16+Datos!AF16)/(Datos!K16+Datos!AE16)))*11)/factor_trimestre),((IF(D_I="SI",Datos!L16/Datos!K16,(Datos!L16+Datos!AF16)/(Datos!K16+Datos!AE16)))*11)/factor_trimestre," - ")</f>
        <v>3.8166023166023169</v>
      </c>
      <c r="BI16" s="266">
        <f>IF(ISNUMBER('Resol  Asuntos'!D16/NºAsuntos!G16),'Resol  Asuntos'!D16/NºAsuntos!G16," - ")</f>
        <v>0.17712355212355213</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219</v>
      </c>
      <c r="AC18" s="547">
        <f>IF(ISNUMBER(Datos!Q18),Datos!Q18," - ")</f>
        <v>1</v>
      </c>
      <c r="AD18" s="549"/>
      <c r="AE18" s="562"/>
      <c r="AF18" s="551">
        <f>IF(ISNUMBER(Datos!L18),Datos!L18,"-")</f>
        <v>231</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116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0.96902654867256632</v>
      </c>
      <c r="BH18" s="764">
        <f>IF(ISNUMBER(((IF(D_I="SI",Datos!L18/Datos!K18,(Datos!L18+Datos!AF18)/(Datos!K18+Datos!AE18)))*11)/factor_trimestre),((IF(D_I="SI",Datos!L18/Datos!K18,(Datos!L18+Datos!AF18)/(Datos!K18+Datos!AE18)))*11)/factor_trimestre," - ")</f>
        <v>3.1643835616438358</v>
      </c>
      <c r="BI18" s="763">
        <f>IF(ISNUMBER('Resol  Asuntos'!D18/NºAsuntos!G18),'Resol  Asuntos'!D18/NºAsuntos!G18," - ")</f>
        <v>2.7397260273972601E-2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2766</v>
      </c>
      <c r="G23" s="1197">
        <f>SUBTOTAL(9,G16:G22)</f>
        <v>2983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2291</v>
      </c>
      <c r="AC23" s="1198">
        <f t="shared" si="5"/>
        <v>141</v>
      </c>
      <c r="AD23" s="1198">
        <f t="shared" si="5"/>
        <v>0</v>
      </c>
      <c r="AE23" s="1198">
        <f t="shared" si="5"/>
        <v>0</v>
      </c>
      <c r="AF23" s="1198">
        <f t="shared" si="5"/>
        <v>2867</v>
      </c>
      <c r="AG23" s="1198">
        <f t="shared" si="5"/>
        <v>0</v>
      </c>
      <c r="AH23" s="1198">
        <f t="shared" si="5"/>
        <v>0</v>
      </c>
      <c r="AI23" s="1198">
        <f t="shared" si="5"/>
        <v>0</v>
      </c>
      <c r="AJ23" s="1198">
        <f t="shared" si="5"/>
        <v>0</v>
      </c>
      <c r="AK23" s="1198">
        <f t="shared" si="5"/>
        <v>0</v>
      </c>
      <c r="AL23" s="1198">
        <f t="shared" si="5"/>
        <v>0</v>
      </c>
      <c r="AM23" s="1198">
        <f t="shared" si="5"/>
        <v>456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373</v>
      </c>
      <c r="BD23" s="1198">
        <f t="shared" si="5"/>
        <v>945</v>
      </c>
      <c r="BE23" s="1198">
        <f t="shared" si="5"/>
        <v>0</v>
      </c>
      <c r="BF23" s="1198">
        <f t="shared" si="5"/>
        <v>0</v>
      </c>
      <c r="BG23" s="1198">
        <f>IF(ISNUMBER(Datos!K23/Datos!J23),Datos!K23/Datos!J23," - ")</f>
        <v>1.0567343173431734</v>
      </c>
      <c r="BH23" s="1202">
        <f>IF(ISNUMBER(((Datos!L23/Datos!K23)*11)/factor_trimestre),((Datos!L23/Datos!K23)*11)/factor_trimestre," - ")</f>
        <v>3.7542557835006551</v>
      </c>
      <c r="BI23" s="1198">
        <f>SUBTOTAL(9,BI16:BI22)</f>
        <v>0.20452081239752473</v>
      </c>
      <c r="BJ23" s="1198">
        <f>SUBTOTAL(9,BJ16:BJ22)</f>
        <v>0</v>
      </c>
      <c r="BK23" s="1198">
        <f>SUBTOTAL(9,BK16:BK22)</f>
        <v>0</v>
      </c>
      <c r="BL23" s="1198">
        <f>IF(ISNUMBER((I23-AB23+L23)/(F23)),(I23-AB23+L23)/(F23)," - ")</f>
        <v>-0.82827187274041936</v>
      </c>
      <c r="BM23" s="1205">
        <f>IF(ISNUMBER((Datos!P23-Datos!Q23)/(Datos!R23-Datos!P23+Datos!Q23)),(Datos!P23-Datos!Q23)/(Datos!R23-Datos!P23+Datos!Q23)," - ")</f>
        <v>0.15151515151515152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13</v>
      </c>
      <c r="F31" s="1117">
        <f t="shared" si="18"/>
        <v>2846</v>
      </c>
      <c r="G31" s="1117">
        <f t="shared" si="18"/>
        <v>3063</v>
      </c>
      <c r="H31" s="1119">
        <f t="shared" si="18"/>
        <v>0</v>
      </c>
      <c r="I31" s="1117">
        <f t="shared" si="18"/>
        <v>0</v>
      </c>
      <c r="J31" s="1119">
        <f t="shared" si="18"/>
        <v>0</v>
      </c>
      <c r="K31" s="1119">
        <f t="shared" si="18"/>
        <v>0</v>
      </c>
      <c r="L31" s="1180">
        <f t="shared" si="18"/>
        <v>0</v>
      </c>
      <c r="M31" s="1180">
        <f t="shared" si="18"/>
        <v>0</v>
      </c>
      <c r="N31" s="1180">
        <f t="shared" si="18"/>
        <v>335</v>
      </c>
      <c r="O31" s="1180">
        <f t="shared" si="18"/>
        <v>0</v>
      </c>
      <c r="P31" s="1180">
        <f t="shared" si="18"/>
        <v>0</v>
      </c>
      <c r="Q31" s="1119">
        <f t="shared" si="18"/>
        <v>834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2325</v>
      </c>
      <c r="AC31" s="1118">
        <f t="shared" si="19"/>
        <v>1506</v>
      </c>
      <c r="AD31" s="1118">
        <f t="shared" si="19"/>
        <v>0</v>
      </c>
      <c r="AE31" s="1118">
        <f t="shared" si="19"/>
        <v>0</v>
      </c>
      <c r="AF31" s="1125">
        <f t="shared" si="19"/>
        <v>2961</v>
      </c>
      <c r="AG31" s="1125">
        <f t="shared" si="19"/>
        <v>0</v>
      </c>
      <c r="AH31" s="1125">
        <f t="shared" si="19"/>
        <v>219</v>
      </c>
      <c r="AI31" s="1125">
        <f t="shared" si="19"/>
        <v>0</v>
      </c>
      <c r="AJ31" s="1118">
        <f t="shared" si="19"/>
        <v>0</v>
      </c>
      <c r="AK31" s="1125">
        <f t="shared" si="19"/>
        <v>0</v>
      </c>
      <c r="AL31" s="1125">
        <f t="shared" si="19"/>
        <v>0</v>
      </c>
      <c r="AM31" s="1125">
        <f t="shared" si="19"/>
        <v>8464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1227</v>
      </c>
      <c r="BD31" s="1117">
        <f t="shared" si="19"/>
        <v>1880</v>
      </c>
      <c r="BE31" s="1117">
        <f t="shared" si="19"/>
        <v>0</v>
      </c>
      <c r="BF31" s="1127">
        <f t="shared" si="19"/>
        <v>0</v>
      </c>
      <c r="BG31" s="1223">
        <f>IF(ISNUMBER(Datos!K31/Datos!J31),Datos!K31/Datos!J31," - ")</f>
        <v>0.96904024767801855</v>
      </c>
      <c r="BH31" s="1223">
        <f>IF(ISNUMBER(((Datos!L31/Datos!K31)*11)/factor_trimestre),((Datos!L31/Datos!K31)*11)/factor_trimestre," - ")</f>
        <v>5.4862619808306716</v>
      </c>
      <c r="BI31" s="1103">
        <f>IF(ISNUMBER(Datos!J31/Datos!I31),Datos!J31/Datos!I31," - ")</f>
        <v>0.58458011583011582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-0.81693605059732954</v>
      </c>
      <c r="BM31" s="1188">
        <f>IF(ISNUMBER((Datos!P31-Datos!Q31+R31)/(Datos!R31-Datos!P31+Datos!Q31-R31)),(Datos!P31-Datos!Q31+R31)/(Datos!R31-Datos!P31+Datos!Q31-R31)," - ")</f>
        <v>-7.3555166374781086E-2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875.14285714285711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2.4991226530700166</v>
      </c>
      <c r="F33" s="673">
        <f>IF(ISNUMBER(STDEV(F8:F30)),STDEV(F8:F30),"-")</f>
        <v>1408.1549157200946</v>
      </c>
      <c r="G33" s="674">
        <f>IF(ISNUMBER(STDEV(G8:G30)),STDEV(G8:G30),"-")</f>
        <v>1367.3144515888837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1041.0899279578293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315.13330512657654</v>
      </c>
      <c r="BD33" s="673"/>
      <c r="BE33" s="673">
        <f>IF(ISNUMBER(STDEV(BE8:BE30)),STDEV(BE8:BE30),"-")</f>
        <v>0</v>
      </c>
      <c r="BF33" s="678">
        <f>IF(ISNUMBER(STDEV(BF8:BF30)),STDEV(BF8:BF30),"-")</f>
        <v>0</v>
      </c>
      <c r="BG33" s="1052">
        <f>IF(ISNUMBER(STDEV(BG8:BG30)),STDEV(BG8:BG30),"-")</f>
        <v>0.1203686354448371</v>
      </c>
      <c r="BH33" s="1058">
        <f>IF(ISNUMBER(STDEV(BH8:BH30)),STDEV(BH8:BH30),"-")</f>
        <v>2.2814206203692033</v>
      </c>
      <c r="BI33" s="273">
        <f>IF(ISNUMBER(STDEV(BI8:BI30)),STDEV(BI8:BI30),"-")</f>
        <v>0.11541087435828096</v>
      </c>
      <c r="BJ33" s="244" t="str">
        <f>IF(ISNUMBER(BL33/BM33),BL33/BM33," - ")</f>
        <v xml:space="preserve"> - </v>
      </c>
      <c r="BK33" s="709"/>
      <c r="BL33" s="681">
        <f>IF(ISNUMBER(STDEV(BL8:BL30)),STDEV(BL8:BL30),"-")</f>
        <v>0.28515627587654924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jaQuHjVAD+uWjJBW5WKvzwbe3+5dijhj3FgxZ/iDI0krUYDGfomGHW5d01cB3k/wj5esc5hLSPsiGxXK35C+A==" saltValue="btjflfYM0CajxhYzv+I+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ALBACETE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563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1277</v>
      </c>
      <c r="AA9" s="551" t="str">
        <f>IF(ISNUMBER(IF(J_V="SI",Datos!L9,Datos!L9+Datos!AB9)-IF(Monitorios="SI",Datos!CD9,0)),
                          IF(J_V="SI",Datos!L9,Datos!L9+Datos!AB9)-IF(Monitorios="SI",Datos!CD9,0),
                          " - ")</f>
        <v xml:space="preserve"> - </v>
      </c>
      <c r="AB9" s="549"/>
      <c r="AC9" s="549"/>
      <c r="AD9" s="563"/>
      <c r="AE9" s="563">
        <f>IF(ISNUMBER(Datos!R9),Datos!R9," - ")</f>
        <v>7472</v>
      </c>
      <c r="AF9" s="693" t="str">
        <f>IF(ISNUMBER(Datos!BV9),Datos!BV9," - ")</f>
        <v xml:space="preserve"> - </v>
      </c>
      <c r="AG9" s="552" t="str">
        <f>IF(ISNUMBER(Datos!DV9),Datos!DV9," - ")</f>
        <v xml:space="preserve"> - </v>
      </c>
      <c r="AH9" s="553"/>
      <c r="AI9" s="554"/>
      <c r="AJ9" s="552">
        <f>IF(ISNUMBER(Datos!M9),Datos!M9," - ")</f>
        <v>651</v>
      </c>
      <c r="AK9" s="693">
        <f>IF(ISNUMBER(Datos!N9),Datos!N9," - ")</f>
        <v>671</v>
      </c>
      <c r="AL9" s="693" t="str">
        <f>IF(ISNUMBER(Datos!BW9),Datos!BW9," - ")</f>
        <v xml:space="preserve"> - </v>
      </c>
      <c r="AM9" s="762" t="str">
        <f>IF(ISNUMBER(Datos!BX9),Datos!BX9," - ")</f>
        <v xml:space="preserve"> - </v>
      </c>
      <c r="AN9" s="763"/>
      <c r="AO9" s="764">
        <f>IF(ISNUMBER(((NºAsuntos!I9/NºAsuntos!G9)*11)/factor_trimestre),((NºAsuntos!I9/NºAsuntos!G9)*11)/factor_trimestre," - ")</f>
        <v>7.247053490480508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-8.7222086489127784E-2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80</v>
      </c>
      <c r="G10" s="552">
        <f>IF(ISNUMBER(Datos!I10),Datos!I10," - ")</f>
        <v>80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34</v>
      </c>
      <c r="Z10" s="805">
        <f>IF(ISNUMBER(Datos!Q10),Datos!Q10," - ")</f>
        <v>9</v>
      </c>
      <c r="AA10" s="551">
        <f>IF(ISNUMBER(Datos!L10),Datos!L10,"-")</f>
        <v>94</v>
      </c>
      <c r="AB10" s="549"/>
      <c r="AC10" s="549"/>
      <c r="AD10" s="563"/>
      <c r="AE10" s="563">
        <f>IF(ISNUMBER(Datos!R10),Datos!R10," - ")</f>
        <v>78</v>
      </c>
      <c r="AF10" s="693" t="str">
        <f>IF(ISNUMBER(Datos!BV10),Datos!BV10," - ")</f>
        <v xml:space="preserve"> - </v>
      </c>
      <c r="AG10" s="552" t="str">
        <f>IF(ISNUMBER(Datos!DV10),Datos!DV10," - ")</f>
        <v xml:space="preserve"> - </v>
      </c>
      <c r="AH10" s="553"/>
      <c r="AI10" s="554"/>
      <c r="AJ10" s="552">
        <f>IF(ISNUMBER(Datos!M10),Datos!M10," - ")</f>
        <v>12</v>
      </c>
      <c r="AK10" s="693">
        <f>IF(ISNUMBER(Datos!N10),Datos!N10," - ")</f>
        <v>25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8.2941176470588243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1.2987012987012988E-2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79</v>
      </c>
      <c r="AA11" s="551" t="str">
        <f>IF(ISNUMBER(IF(J_V="SI",Datos!L11,Datos!L11+Datos!AB11)-IF(Monitorios="SI",Datos!CD11,0)),
                          IF(J_V="SI",Datos!L11,Datos!L11+Datos!AB11)-IF(Monitorios="SI",Datos!CD11,0),
                          " - ")</f>
        <v xml:space="preserve"> - </v>
      </c>
      <c r="AB11" s="549"/>
      <c r="AC11" s="549"/>
      <c r="AD11" s="563"/>
      <c r="AE11" s="563">
        <f>IF(ISNUMBER(Datos!R11),Datos!R11," - ")</f>
        <v>458</v>
      </c>
      <c r="AF11" s="693" t="str">
        <f>IF(ISNUMBER(Datos!BV11),Datos!BV11," - ")</f>
        <v xml:space="preserve"> - </v>
      </c>
      <c r="AG11" s="552" t="str">
        <f>IF(ISNUMBER(Datos!DV11),Datos!DV11," - ")</f>
        <v xml:space="preserve"> - </v>
      </c>
      <c r="AH11" s="553"/>
      <c r="AI11" s="554"/>
      <c r="AJ11" s="552">
        <f>IF(ISNUMBER(Datos!M11),Datos!M11," - ")</f>
        <v>191</v>
      </c>
      <c r="AK11" s="693">
        <f>IF(ISNUMBER(Datos!N11),Datos!N11," - ")</f>
        <v>239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2.8400735294117649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-3.9832285115303984E-2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80</v>
      </c>
      <c r="G14" s="1197">
        <f>SUBTOTAL(9,G8:G13)</f>
        <v>80</v>
      </c>
      <c r="H14" s="1211"/>
      <c r="I14" s="1197">
        <f t="shared" ref="I14:N14" si="1">SUBTOTAL(9,I8:I13)</f>
        <v>0</v>
      </c>
      <c r="J14" s="1164">
        <f t="shared" si="1"/>
        <v>0</v>
      </c>
      <c r="K14" s="1211">
        <f t="shared" si="1"/>
        <v>0</v>
      </c>
      <c r="L14" s="1211">
        <f t="shared" si="1"/>
        <v>0</v>
      </c>
      <c r="M14" s="1211">
        <f t="shared" si="1"/>
        <v>0</v>
      </c>
      <c r="N14" s="1211">
        <f t="shared" si="1"/>
        <v>633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34</v>
      </c>
      <c r="Z14" s="1210">
        <f t="shared" si="3"/>
        <v>1365</v>
      </c>
      <c r="AA14" s="1199">
        <f t="shared" si="3"/>
        <v>94</v>
      </c>
      <c r="AB14" s="1199">
        <f t="shared" si="3"/>
        <v>0</v>
      </c>
      <c r="AC14" s="1199">
        <f t="shared" si="3"/>
        <v>0</v>
      </c>
      <c r="AD14" s="1199">
        <f t="shared" si="3"/>
        <v>0</v>
      </c>
      <c r="AE14" s="1199">
        <f t="shared" si="3"/>
        <v>8008</v>
      </c>
      <c r="AF14" s="1211">
        <f t="shared" si="3"/>
        <v>0</v>
      </c>
      <c r="AG14" s="1211">
        <f t="shared" si="3"/>
        <v>0</v>
      </c>
      <c r="AH14" s="1211">
        <f t="shared" si="3"/>
        <v>0</v>
      </c>
      <c r="AI14" s="1211">
        <f t="shared" si="3"/>
        <v>0</v>
      </c>
      <c r="AJ14" s="1211">
        <f t="shared" si="3"/>
        <v>854</v>
      </c>
      <c r="AK14" s="1211">
        <f t="shared" si="3"/>
        <v>935</v>
      </c>
      <c r="AL14" s="1211">
        <f t="shared" si="3"/>
        <v>0</v>
      </c>
      <c r="AM14" s="1211">
        <f t="shared" si="3"/>
        <v>0</v>
      </c>
      <c r="AN14" s="1211">
        <f t="shared" si="3"/>
        <v>0</v>
      </c>
      <c r="AO14" s="1203">
        <f>IF(ISNUMBER(((NºAsuntos!I14/NºAsuntos!G14)*11)/factor_trimestre),((NºAsuntos!I14/NºAsuntos!G14)*11)/factor_trimestre," - ")</f>
        <v>6.3987068965517233</v>
      </c>
      <c r="AP14" s="1213" t="str">
        <f>IF(ISNUMBER(Datos!CI14/Datos!CJ14),Datos!CI14/Datos!CJ14," - ")</f>
        <v xml:space="preserve"> - </v>
      </c>
      <c r="AQ14" s="1236">
        <f t="shared" ref="AQ14:AV14" si="4">SUBTOTAL(9,AQ9:AQ13)</f>
        <v>0</v>
      </c>
      <c r="AR14" s="1236">
        <f t="shared" si="4"/>
        <v>-0.11406735861741878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2766</v>
      </c>
      <c r="G16" s="552">
        <f>IF(ISNUMBER(IF(D_I="SI",Datos!I16,Datos!I16+Datos!AC16)),IF(D_I="SI",Datos!I16,Datos!I16+Datos!AC16)," - ")</f>
        <v>2760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199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2072</v>
      </c>
      <c r="Z16" s="805">
        <f>IF(ISNUMBER(Datos!Q16),Datos!Q16," - ")</f>
        <v>140</v>
      </c>
      <c r="AA16" s="551">
        <f>IF(ISNUMBER(IF(D_I="SI",Datos!L16,Datos!L16+Datos!AF16)),IF(D_I="SI",Datos!L16,Datos!L16+Datos!AF16)," - ")</f>
        <v>2636</v>
      </c>
      <c r="AB16" s="549"/>
      <c r="AC16" s="549"/>
      <c r="AD16" s="563"/>
      <c r="AE16" s="563">
        <f>IF(ISNUMBER(Datos!R16),Datos!R16," - ")</f>
        <v>455</v>
      </c>
      <c r="AF16" s="693" t="str">
        <f>IF(ISNUMBER(Datos!BV16),Datos!BV16," - ")</f>
        <v xml:space="preserve"> - </v>
      </c>
      <c r="AG16" s="552"/>
      <c r="AH16" s="553"/>
      <c r="AI16" s="554"/>
      <c r="AJ16" s="552">
        <f>IF(ISNUMBER(Datos!M16),Datos!M16," - ")</f>
        <v>367</v>
      </c>
      <c r="AK16" s="693">
        <f>IF(ISNUMBER(Datos!N16),Datos!N16," - ")</f>
        <v>829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3.8166023166023169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219</v>
      </c>
      <c r="Z18" s="805">
        <f>IF(ISNUMBER(Datos!Q18),Datos!Q18," - ")</f>
        <v>1</v>
      </c>
      <c r="AA18" s="551">
        <f>IF(ISNUMBER(Datos!L18),Datos!L18,"-")</f>
        <v>231</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6</v>
      </c>
      <c r="AK18" s="693">
        <f>IF(ISNUMBER(Datos!N18),Datos!N18," - ")</f>
        <v>116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3.1643835616438358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2766</v>
      </c>
      <c r="G23" s="1197">
        <f>SUBTOTAL(9,G16:G22)</f>
        <v>2983</v>
      </c>
      <c r="H23" s="1240">
        <f>SUBTOTAL(9,H16:H22)</f>
        <v>0</v>
      </c>
      <c r="I23" s="1217">
        <f>SUBTOTAL(9,I16:I22)</f>
        <v>0</v>
      </c>
      <c r="J23" s="1164">
        <f>SUBTOTAL(9,J15:J22)</f>
        <v>0</v>
      </c>
      <c r="K23" s="1240">
        <f t="shared" ref="K23:S23" si="5">SUBTOTAL(9,K16:K22)</f>
        <v>0</v>
      </c>
      <c r="L23" s="1240">
        <f t="shared" si="5"/>
        <v>0</v>
      </c>
      <c r="M23" s="1240">
        <f t="shared" si="5"/>
        <v>0</v>
      </c>
      <c r="N23" s="1240">
        <f t="shared" si="5"/>
        <v>201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2291</v>
      </c>
      <c r="Z23" s="1240">
        <f t="shared" si="6"/>
        <v>141</v>
      </c>
      <c r="AA23" s="1240">
        <f t="shared" si="6"/>
        <v>2867</v>
      </c>
      <c r="AB23" s="1240">
        <f t="shared" si="6"/>
        <v>0</v>
      </c>
      <c r="AC23" s="1240">
        <f t="shared" si="6"/>
        <v>0</v>
      </c>
      <c r="AD23" s="1240">
        <f t="shared" si="6"/>
        <v>0</v>
      </c>
      <c r="AE23" s="1240">
        <f t="shared" si="6"/>
        <v>456</v>
      </c>
      <c r="AF23" s="1240">
        <f t="shared" si="6"/>
        <v>0</v>
      </c>
      <c r="AG23" s="1240">
        <f t="shared" si="6"/>
        <v>0</v>
      </c>
      <c r="AH23" s="1240">
        <f t="shared" si="6"/>
        <v>0</v>
      </c>
      <c r="AI23" s="1240">
        <f t="shared" si="6"/>
        <v>0</v>
      </c>
      <c r="AJ23" s="1240">
        <f t="shared" si="6"/>
        <v>373</v>
      </c>
      <c r="AK23" s="1240">
        <f t="shared" si="6"/>
        <v>945</v>
      </c>
      <c r="AL23" s="1240">
        <f t="shared" si="6"/>
        <v>0</v>
      </c>
      <c r="AM23" s="1240">
        <f t="shared" si="6"/>
        <v>0</v>
      </c>
      <c r="AN23" s="1240">
        <f t="shared" si="6"/>
        <v>0</v>
      </c>
      <c r="AO23" s="1242">
        <f>IF(ISNUMBER(((NºAsuntos!I23/NºAsuntos!G23)*11)/factor_trimestre),((NºAsuntos!I23/NºAsuntos!G23)*11)/factor_trimestre," - ")</f>
        <v>3.7542557835006551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13</v>
      </c>
      <c r="F31" s="1117">
        <f t="shared" si="12"/>
        <v>2846</v>
      </c>
      <c r="G31" s="1117">
        <f t="shared" si="12"/>
        <v>3063</v>
      </c>
      <c r="H31" s="1118">
        <f t="shared" si="12"/>
        <v>0</v>
      </c>
      <c r="I31" s="1117">
        <f t="shared" si="12"/>
        <v>0</v>
      </c>
      <c r="J31" s="1119">
        <f t="shared" si="12"/>
        <v>0</v>
      </c>
      <c r="K31" s="1117">
        <f t="shared" si="12"/>
        <v>0</v>
      </c>
      <c r="L31" s="1120">
        <f t="shared" si="12"/>
        <v>0</v>
      </c>
      <c r="M31" s="1117">
        <f t="shared" si="12"/>
        <v>0</v>
      </c>
      <c r="N31" s="1118">
        <f t="shared" si="12"/>
        <v>834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2325</v>
      </c>
      <c r="Z31" s="1124">
        <f t="shared" si="13"/>
        <v>1506</v>
      </c>
      <c r="AA31" s="1125">
        <f t="shared" si="13"/>
        <v>2961</v>
      </c>
      <c r="AB31" s="1125">
        <f t="shared" si="13"/>
        <v>0</v>
      </c>
      <c r="AC31" s="1125">
        <f t="shared" si="13"/>
        <v>0</v>
      </c>
      <c r="AD31" s="1126">
        <f t="shared" si="13"/>
        <v>0</v>
      </c>
      <c r="AE31" s="1126">
        <f t="shared" si="13"/>
        <v>8464</v>
      </c>
      <c r="AF31" s="1127">
        <f t="shared" si="13"/>
        <v>0</v>
      </c>
      <c r="AG31" s="1128">
        <f t="shared" si="13"/>
        <v>0</v>
      </c>
      <c r="AH31" s="1129">
        <f t="shared" si="13"/>
        <v>0</v>
      </c>
      <c r="AI31" s="1127">
        <f t="shared" si="13"/>
        <v>0</v>
      </c>
      <c r="AJ31" s="1117">
        <f t="shared" si="13"/>
        <v>1227</v>
      </c>
      <c r="AK31" s="1117">
        <f t="shared" si="13"/>
        <v>1880</v>
      </c>
      <c r="AL31" s="1117">
        <f t="shared" si="13"/>
        <v>0</v>
      </c>
      <c r="AM31" s="1130">
        <f t="shared" si="13"/>
        <v>0</v>
      </c>
      <c r="AN31" s="1120">
        <f>IF(ISNUMBER(Datos!K31/Datos!J31),Datos!K31/Datos!J31," - ")</f>
        <v>0.96904024767801855</v>
      </c>
      <c r="AO31" s="1120">
        <f>IF(ISNUMBER(FIND("06",Criterios!A8,1)),(IF(ISNUMBER(((Datos!R31/Datos!Q31)*11)/factor_trimestre),((Datos!R31/Datos!Q31)*11)/factor_trimestre," - ")),(IF(ISNUMBER(((Datos!L31/Datos!K31)*11)/factor_trimestre),((Datos!L31/Datos!K31)*11)/factor_trimestre," - ")))</f>
        <v>5.4862619808306716</v>
      </c>
      <c r="AP31" s="1131" t="str">
        <f>IF(ISNUMBER(Datos!CI31/Datos!CJ31),Datos!CI31/Datos!CJ31," - ")</f>
        <v xml:space="preserve"> - </v>
      </c>
      <c r="AQ31" s="1131">
        <f>IF(OR(ISNUMBER(FIND("01",Criterios!A8,1)),ISNUMBER(FIND("02",Criterios!A8,1)),ISNUMBER(FIND("03",Criterios!A8,1)),ISNUMBER(FIND("04",Criterios!A8,1))),(J31-Y31+K31)/(F31-K31),(I31-Y31+K31)/(F31-K31))</f>
        <v>-0.81693605059732954</v>
      </c>
      <c r="AR31" s="1131">
        <f>IF(ISNUMBER((Datos!P31-Datos!Q31+O31)/(Datos!R31-Datos!P31+Datos!Q31-O31)),(Datos!P31-Datos!Q31+O31)/(Datos!R31-Datos!P31+Datos!Q31-O31)," - ")</f>
        <v>-7.3555166374781086E-2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875.14285714285711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1408.1549157200946</v>
      </c>
      <c r="G33" s="674">
        <f>IF(ISNUMBER(STDEV(G8:G30)),STDEV(G8:G30),"-")</f>
        <v>1367.3144515888837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315.13330512657654</v>
      </c>
      <c r="AK33" s="276"/>
      <c r="AL33" s="276">
        <f>IF(ISNUMBER(STDEV(AL8:AL30)),STDEV(AL8:AL30),"-")</f>
        <v>0</v>
      </c>
      <c r="AM33" s="278">
        <f>IF(ISNUMBER(STDEV(AM8:AM30)),STDEV(AM8:AM30),"-")</f>
        <v>0</v>
      </c>
      <c r="AN33" s="660">
        <f>IF(ISNUMBER(STDEV(AN8:AN30)),STDEV(AN8:AN30),"-")</f>
        <v>0</v>
      </c>
      <c r="AO33" s="661">
        <f>IF(ISNUMBER(STDEV(AO8:AO30)),STDEV(AO8:AO30),"-")</f>
        <v>2.1911185316548107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Y2fgD2+8aC655y6fnMoGDGYk/Q2bAhll8D+q2Oik7btVXQ6guSJKcvXAk5ESMCi22odtvoKDz1VkUDGk5sqdbA==" saltValue="mjUNOoQFC5druF5mouk7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iAmOJK4HcLUyqldPxtSXpCE3DHBz26D5sOfM8C6Vvs0eYS6hRGfnXUJl9eauJA8pwS4lv1FjebMXUIrbuCxeA==" saltValue="xU+TL7I1BuM7r/Q3gxwy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IiN9gBFANmiFq1xvyPFeW4SvhwXhv69Q5npmWYUQZaUCFDzqRXWIvLUFUcV2PcWXBYa3eT7pHqj3NJoByDKaQ==" saltValue="d6WtGLUbKjR2B3DdkdCYH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ALBACETE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0.3067528735632184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0.21690703704501135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TqkH4yHi044LBtD04SPlEp4N5bhIcK4N2dqvRdDXED/cE1ag++fC0CkMFufMYmXw4xh2169FI/3bSfwq4AxIbg==" saltValue="0WkfeBwCVnnzifzBEfUf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dRLAMQUjtPq2maw7u7VbaJsALQoFn9+SGYNnFxiWj1nTwr6SckQ2LA3msVgGTJyG/QOkIR6Od0atUQrRnfa+A==" saltValue="eMjKPdI7zKeCZIyjA20Y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ALBACETE</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5040</v>
      </c>
      <c r="D9" s="452">
        <f>IF(ISNUMBER(C9/Datos!BH9),C9/Datos!BH9," - ")</f>
        <v>1008</v>
      </c>
      <c r="E9" s="451">
        <f>IF(ISNUMBER(IF(J_V="SI",Datos!J9,Datos!J9+Datos!Z9)),IF(J_V="SI",Datos!J9,Datos!J9+Datos!Z9)," - ")</f>
        <v>2364</v>
      </c>
      <c r="F9" s="452">
        <f>IF(ISNUMBER(E9/B9),E9/B9," - ")</f>
        <v>394</v>
      </c>
      <c r="G9" s="451">
        <f>IF(ISNUMBER(IF(J_V="SI",Datos!K9,Datos!K9+Datos!AA9)),IF(J_V="SI",Datos!K9,Datos!K9+Datos!AA9)," - ")</f>
        <v>2206</v>
      </c>
      <c r="H9" s="452">
        <f>IF(ISNUMBER(G9/B9),G9/B9," - ")</f>
        <v>367.66666666666669</v>
      </c>
      <c r="I9" s="451">
        <f>IF(ISNUMBER(IF(J_V="SI",Datos!L9,Datos!L9+Datos!AB9)),IF(J_V="SI",Datos!L9,Datos!L9+Datos!AB9)," - ")</f>
        <v>5329</v>
      </c>
      <c r="J9" s="452">
        <f>IF(ISNUMBER(I9/B9),I9/B9," - ")</f>
        <v>888.16666666666663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80</v>
      </c>
      <c r="D10" s="452">
        <f>IF(ISNUMBER(C10/Datos!BH10),C10/Datos!BH10," - ")</f>
        <v>80</v>
      </c>
      <c r="E10" s="451">
        <f>IF(ISNUMBER(Datos!J10),Datos!J10," - ")</f>
        <v>48</v>
      </c>
      <c r="F10" s="452">
        <f>IF(ISNUMBER(E10/B10),E10/B10," - ")</f>
        <v>48</v>
      </c>
      <c r="G10" s="451">
        <f>IF(ISNUMBER(Datos!K10),Datos!K10," - ")</f>
        <v>34</v>
      </c>
      <c r="H10" s="452">
        <f>IF(ISNUMBER(G10/B10),G10/B10," - ")</f>
        <v>34</v>
      </c>
      <c r="I10" s="451">
        <f>IF(ISNUMBER(Datos!L10),Datos!L10," - ")</f>
        <v>94</v>
      </c>
      <c r="J10" s="452">
        <f>IF(ISNUMBER(I10/B10),I10/B10," - ")</f>
        <v>94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459</v>
      </c>
      <c r="D11" s="452">
        <f>IF(ISNUMBER(C11/Datos!BH11),C11/Datos!BH11," - ")</f>
        <v>229.5</v>
      </c>
      <c r="E11" s="451">
        <f>IF(ISNUMBER(IF(J_V="SI",Datos!J11,Datos!J11+Datos!Z11)),IF(J_V="SI",Datos!J11,Datos!J11+Datos!Z11)," - ")</f>
        <v>600</v>
      </c>
      <c r="F11" s="452">
        <f>IF(ISNUMBER(E11/B11),E11/B11," - ")</f>
        <v>300</v>
      </c>
      <c r="G11" s="451">
        <f>IF(ISNUMBER(IF(J_V="SI",Datos!K11,Datos!K11+Datos!AA11)),IF(J_V="SI",Datos!K11,Datos!K11+Datos!AA11)," - ")</f>
        <v>544</v>
      </c>
      <c r="H11" s="452">
        <f>IF(ISNUMBER(G11/B11),G11/B11," - ")</f>
        <v>272</v>
      </c>
      <c r="I11" s="451">
        <f>IF(ISNUMBER(IF(J_V="SI",Datos!L11,Datos!L11+Datos!AB11)),IF(J_V="SI",Datos!L11,Datos!L11+Datos!AB11)," - ")</f>
        <v>515</v>
      </c>
      <c r="J11" s="452">
        <f>IF(ISNUMBER(I11/B11),I11/B11," - ")</f>
        <v>257.5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5579</v>
      </c>
      <c r="D14" s="1147" t="str">
        <f>IF(ISNUMBER(C14/Datos!BI14),C14/Datos!BI14," - ")</f>
        <v xml:space="preserve"> - </v>
      </c>
      <c r="E14" s="1146">
        <f>SUBTOTAL(9,E8:E13)</f>
        <v>3012</v>
      </c>
      <c r="F14" s="1147">
        <f>IF(ISNUMBER(E14/B14),E14/B14," - ")</f>
        <v>334.66666666666669</v>
      </c>
      <c r="G14" s="1146">
        <f>SUBTOTAL(9,G8:G13)</f>
        <v>2784</v>
      </c>
      <c r="H14" s="1147">
        <f>IF(ISNUMBER(G14/B14),G14/B14," - ")</f>
        <v>309.33333333333331</v>
      </c>
      <c r="I14" s="1146">
        <f>SUBTOTAL(9,I8:I13)</f>
        <v>5938</v>
      </c>
      <c r="J14" s="1147">
        <f>IF(ISNUMBER(I14/B14),I14/B14," - ")</f>
        <v>659.77777777777783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2760</v>
      </c>
      <c r="D16" s="452">
        <f>IF(ISNUMBER(C16/Datos!BH16),C16/Datos!BH16," - ")</f>
        <v>920</v>
      </c>
      <c r="E16" s="451">
        <f>IF(ISNUMBER(IF(D_I="SI",Datos!J16,Datos!J16+Datos!AD16)),IF(D_I="SI",Datos!J16,Datos!J16+Datos!AD16)," - ")</f>
        <v>1942</v>
      </c>
      <c r="F16" s="452">
        <f>IF(ISNUMBER(E16/B16),E16/B16," - ")</f>
        <v>647.33333333333337</v>
      </c>
      <c r="G16" s="451">
        <f>IF(ISNUMBER(IF(D_I="SI",Datos!K16,Datos!K16+Datos!AE16)),IF(D_I="SI",Datos!K16,Datos!K16+Datos!AE16)," - ")</f>
        <v>2072</v>
      </c>
      <c r="H16" s="452">
        <f>IF(ISNUMBER(G16/B16),G16/B16," - ")</f>
        <v>690.66666666666663</v>
      </c>
      <c r="I16" s="451">
        <f>IF(ISNUMBER(IF(D_I="SI",Datos!L16,Datos!L16+Datos!AF16)),IF(D_I="SI",Datos!L16,Datos!L16+Datos!AF16)," - ")</f>
        <v>2636</v>
      </c>
      <c r="J16" s="452">
        <f>IF(ISNUMBER(I16/B16),I16/B16," - ")</f>
        <v>878.66666666666663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223</v>
      </c>
      <c r="D18" s="452">
        <f>IF(ISNUMBER(C18/Datos!BH18),C18/Datos!BH18," - ")</f>
        <v>223</v>
      </c>
      <c r="E18" s="451">
        <f>IF(ISNUMBER(IF(D_I="SI",Datos!J18,Datos!J18+Datos!AD18)),IF(D_I="SI",Datos!J18,Datos!J18+Datos!AD18)," - ")</f>
        <v>226</v>
      </c>
      <c r="F18" s="452">
        <f>IF(ISNUMBER(E18/B18),E18/B18," - ")</f>
        <v>226</v>
      </c>
      <c r="G18" s="451">
        <f>IF(ISNUMBER(IF(D_I="SI",Datos!K18,Datos!K18+Datos!AE18)),IF(D_I="SI",Datos!K18,Datos!K18+Datos!AE18)," - ")</f>
        <v>219</v>
      </c>
      <c r="H18" s="452">
        <f>IF(ISNUMBER(G18/B18),G18/B18," - ")</f>
        <v>219</v>
      </c>
      <c r="I18" s="451">
        <f>IF(ISNUMBER(IF(D_I="SI",Datos!L18,Datos!L18+Datos!AF18)),IF(D_I="SI",Datos!L18,Datos!L18+Datos!AF18)," - ")</f>
        <v>231</v>
      </c>
      <c r="J18" s="452">
        <f>IF(ISNUMBER(I18/B18),I18/B18," - ")</f>
        <v>231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2983</v>
      </c>
      <c r="D23" s="1147" t="str">
        <f>IF(ISNUMBER(C23/Datos!BI23),C23/Datos!BI23," - ")</f>
        <v xml:space="preserve"> - </v>
      </c>
      <c r="E23" s="1146">
        <f>SUBTOTAL(9,E15:E22)</f>
        <v>2168</v>
      </c>
      <c r="F23" s="1147">
        <f>IF(ISNUMBER(E23/B23),E23/B23," - ")</f>
        <v>542</v>
      </c>
      <c r="G23" s="1146">
        <f>SUBTOTAL(9,G15:G22)</f>
        <v>2291</v>
      </c>
      <c r="H23" s="1147">
        <f>IF(ISNUMBER(G23/B23),G23/B23," - ")</f>
        <v>572.75</v>
      </c>
      <c r="I23" s="1146">
        <f>SUBTOTAL(9,I15:I22)</f>
        <v>2867</v>
      </c>
      <c r="J23" s="1147">
        <f>IF(ISNUMBER(I23/B23),I23/B23," - ")</f>
        <v>716.75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12</v>
      </c>
      <c r="C31" s="1084">
        <f>SUBTOTAL(9,C9:C30)</f>
        <v>8562</v>
      </c>
      <c r="D31" s="1085" t="str">
        <f>IF(ISNUMBER(C31/Datos!BI31),C31/Datos!BI31," - ")</f>
        <v xml:space="preserve"> - </v>
      </c>
      <c r="E31" s="1084">
        <f>SUBTOTAL(9,E9:E30)</f>
        <v>5180</v>
      </c>
      <c r="F31" s="1085">
        <f>IF(ISNUMBER(E31/B31),E31/B31," - ")</f>
        <v>431.66666666666669</v>
      </c>
      <c r="G31" s="1084">
        <f>SUBTOTAL(9,G9:G30)</f>
        <v>5075</v>
      </c>
      <c r="H31" s="1085">
        <f>IF(ISNUMBER(G31/B31),G31/B31," - ")</f>
        <v>422.91666666666669</v>
      </c>
      <c r="I31" s="1084">
        <f>SUBTOTAL(9,I9:I30)</f>
        <v>8805</v>
      </c>
      <c r="J31" s="1085">
        <f>IF(ISNUMBER(I31/B31),I31/B31," - ")</f>
        <v>733.75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TPLwGKPyM7fMsPseM11vJxhQbLWZ+RFgmaTG08XTWYFPBEItLthWRl8LvzyzzM9SiP+womP8fonWNbZw+ddA7g==" saltValue="G+5CsddljmLbqP6egn54J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ALBACETE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80</v>
      </c>
      <c r="G10" s="906">
        <f>IF(ISNUMBER(Datos!I10),Datos!I10," - ")</f>
        <v>80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34</v>
      </c>
      <c r="AC10" s="905" t="str">
        <f>IF(ISNUMBER(IF(D_I="SI",DatosP!K18,DatosP!K18+DatosP!AE18)),IF(D_I="SI",DatosP!K18,DatosP!K18+DatosP!AE18)," - ")</f>
        <v xml:space="preserve"> - </v>
      </c>
      <c r="AD10" s="907"/>
      <c r="AE10" s="907"/>
      <c r="AF10" s="910">
        <f>IF(ISNUMBER(Datos!L10),Datos!L10,"-")</f>
        <v>94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25</v>
      </c>
      <c r="AN10" s="914">
        <f>IF(ISNUMBER(Datos!BW10+DatosP!BW18),Datos!BW10+DatosP!BW18," - ")</f>
        <v>0</v>
      </c>
      <c r="AO10" s="915">
        <f>IF(ISNUMBER(Datos!BX10+DatosP!BX18),Datos!BX10+DatosP!BX18," - ")</f>
        <v>0</v>
      </c>
      <c r="AP10" s="917">
        <f>IF(ISNUMBER(((Datos!L10/Datos!K10)*11)/factor_trimestre),((Datos!L10/Datos!K10)*11)/factor_trimestre," - ")</f>
        <v>8.2941176470588243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80</v>
      </c>
      <c r="G14" s="1256">
        <f t="shared" si="0"/>
        <v>80</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34</v>
      </c>
      <c r="AC14" s="1257">
        <f t="shared" si="1"/>
        <v>0</v>
      </c>
      <c r="AD14" s="1257">
        <f t="shared" si="1"/>
        <v>0</v>
      </c>
      <c r="AE14" s="1257">
        <f t="shared" si="1"/>
        <v>0</v>
      </c>
      <c r="AF14" s="1257">
        <f t="shared" si="1"/>
        <v>94</v>
      </c>
      <c r="AG14" s="1257">
        <f t="shared" si="1"/>
        <v>0</v>
      </c>
      <c r="AH14" s="1257">
        <f t="shared" si="1"/>
        <v>0</v>
      </c>
      <c r="AI14" s="1257">
        <f t="shared" si="1"/>
        <v>0</v>
      </c>
      <c r="AJ14" s="1257">
        <f t="shared" si="1"/>
        <v>0</v>
      </c>
      <c r="AK14" s="1257">
        <f t="shared" si="1"/>
        <v>0</v>
      </c>
      <c r="AL14" s="1257">
        <f t="shared" si="1"/>
        <v>12</v>
      </c>
      <c r="AM14" s="1257">
        <f t="shared" si="1"/>
        <v>25</v>
      </c>
      <c r="AN14" s="1257">
        <f t="shared" si="1"/>
        <v>0</v>
      </c>
      <c r="AO14" s="1257">
        <f t="shared" si="1"/>
        <v>0</v>
      </c>
      <c r="AP14" s="1262">
        <f>IF(ISNUMBER(((Datos!L14/Datos!K14)*11)/factor_trimestre),((Datos!L14/Datos!K14)*11)/factor_trimestre," - ")</f>
        <v>7.1368552412645592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-0.42499999999999999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3.7542557835006551</v>
      </c>
      <c r="AQ23" s="1262">
        <f>IF(ISNUMBER(((Datos!M23/Datos!L23)*11)/factor_trimestre),((Datos!M23/Datos!L23)*11)/factor_trimestre," - ")</f>
        <v>0.39030345308685038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0.15151515151515152</v>
      </c>
      <c r="AW23" s="1265">
        <f>IF(ISNUMBER((Datos!Q23-Datos!R23)/(Datos!S23-Datos!Q23+Datos!R23)),(Datos!Q23-Datos!R23)/(Datos!S23-Datos!Q23+Datos!R23)," - ")</f>
        <v>-8.771929824561403E-2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80</v>
      </c>
      <c r="G31" s="1278">
        <f t="shared" si="8"/>
        <v>80</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34</v>
      </c>
      <c r="AC31" s="1284">
        <f t="shared" si="9"/>
        <v>0</v>
      </c>
      <c r="AD31" s="1284">
        <f t="shared" si="9"/>
        <v>0</v>
      </c>
      <c r="AE31" s="1284">
        <f t="shared" si="9"/>
        <v>0</v>
      </c>
      <c r="AF31" s="1285">
        <f t="shared" si="9"/>
        <v>94</v>
      </c>
      <c r="AG31" s="1285">
        <f t="shared" si="9"/>
        <v>0</v>
      </c>
      <c r="AH31" s="1285">
        <f t="shared" si="9"/>
        <v>0</v>
      </c>
      <c r="AI31" s="1285">
        <f t="shared" si="9"/>
        <v>0</v>
      </c>
      <c r="AJ31" s="1286">
        <f t="shared" si="9"/>
        <v>0</v>
      </c>
      <c r="AK31" s="1286">
        <f t="shared" si="9"/>
        <v>0</v>
      </c>
      <c r="AL31" s="1278">
        <f t="shared" si="9"/>
        <v>12</v>
      </c>
      <c r="AM31" s="1278">
        <f t="shared" si="9"/>
        <v>25</v>
      </c>
      <c r="AN31" s="1278">
        <f t="shared" si="9"/>
        <v>0</v>
      </c>
      <c r="AO31" s="1278">
        <f t="shared" si="9"/>
        <v>0</v>
      </c>
      <c r="AP31" s="1278">
        <f>IF(ISNUMBER(((Datos!L31/Datos!K31)*11)/factor_trimestre),((Datos!L31/Datos!K31)*11)/factor_trimestre," - ")</f>
        <v>5.4862619808306716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-0.42499999999999999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-7.3555166374781086E-2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43.81780460041329</v>
      </c>
      <c r="G33" s="1007">
        <f>IF(ISNUMBER(STDEV(G8:G30)),STDEV(G8:G30),"-")</f>
        <v>43.81780460041329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18.62256695517565</v>
      </c>
      <c r="AC33" s="1008">
        <f>IF(ISNUMBER(STDEV(AC8:AC30)),STDEV(AC8:AC30),"-")</f>
        <v>0</v>
      </c>
      <c r="AD33" s="1011"/>
      <c r="AE33" s="1011"/>
      <c r="AF33" s="1011"/>
      <c r="AG33" s="1011"/>
      <c r="AH33" s="1011"/>
      <c r="AI33" s="1011"/>
      <c r="AJ33" s="1012">
        <f>IF(ISNUMBER(STDEV(AJ8:AJ30)),STDEV(AJ8:AJ30),"-")</f>
        <v>0</v>
      </c>
      <c r="AK33" s="1014"/>
      <c r="AL33" s="1006">
        <f>IF(ISNUMBER(STDEV(AL8:AL30)),STDEV(AL8:AL30),"-")</f>
        <v>6.5726706900619938</v>
      </c>
      <c r="AM33" s="1006"/>
      <c r="AN33" s="1006">
        <f>IF(ISNUMBER(STDEV(AN8:AN30)),STDEV(AN8:AN30),"-")</f>
        <v>0</v>
      </c>
      <c r="AO33" s="1012">
        <f>IF(ISNUMBER(STDEV(AO8:AO30)),STDEV(AO8:AO30),"-")</f>
        <v>0</v>
      </c>
      <c r="AP33" s="1065">
        <f>IF(ISNUMBER(STDEV(AP8:AP30)),STDEV(AP8:AP30),"-")</f>
        <v>2.3590810749003941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RH6jGuSp9pcrkUVyeNc8oJyKywqacZlyjPPrJRz7F7f98t13KCEQvpyoi7xJzqhjP4huzSoElLkyTUJh0O3MBg==" saltValue="kDe8DLo7CUtVlgDAwRH5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ALBACETE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1.2</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AeULpYla4JcWnutnGF3v6OU3g+/ZLePpUn/3gDZ9bTQ6grMt8/RVUaYglpCaeYlc3l15EMM3o2kmG8vR5pWbw==" saltValue="AzyROnd1pVjdpztm49fYo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ALBACETE</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651</v>
      </c>
      <c r="E9" s="452">
        <f t="shared" ref="E9:E14" si="0">IF(ISNUMBER(D9/B9),D9/B9," - ")</f>
        <v>108.5</v>
      </c>
      <c r="F9" s="451">
        <f>IF(ISNUMBER(Datos!N9),Datos!N9," - ")</f>
        <v>671</v>
      </c>
      <c r="G9" s="452">
        <f t="shared" ref="G9:G14" si="1">IF(ISNUMBER(F9/B9),F9/B9," - ")</f>
        <v>111.83333333333333</v>
      </c>
      <c r="H9" s="451">
        <f>IF(ISNUMBER(Datos!O9),Datos!O9," - ")</f>
        <v>1207</v>
      </c>
      <c r="I9" s="452">
        <f>IF(ISNUMBER(H9/B9),H9/B9," - ")</f>
        <v>201.16666666666666</v>
      </c>
    </row>
    <row r="10" spans="1:9">
      <c r="A10" s="450" t="str">
        <f>Datos!A10</f>
        <v>Jdos. Violencia contra la mujer</v>
      </c>
      <c r="B10" s="480">
        <f>Datos!AO10</f>
        <v>1</v>
      </c>
      <c r="C10" s="458">
        <f>Datos!AQ10</f>
        <v>1</v>
      </c>
      <c r="D10" s="451">
        <f>IF(ISNUMBER(Datos!M10),Datos!M10," - ")</f>
        <v>12</v>
      </c>
      <c r="E10" s="452">
        <f>IF(ISNUMBER(D10/B10),D10/B10," - ")</f>
        <v>12</v>
      </c>
      <c r="F10" s="451">
        <f>IF(ISNUMBER(Datos!N10),Datos!N10," - ")</f>
        <v>25</v>
      </c>
      <c r="G10" s="452">
        <f>IF(ISNUMBER(F10/B10),F10/B10," - ")</f>
        <v>25</v>
      </c>
      <c r="H10" s="451">
        <f>IF(ISNUMBER(Datos!O10),Datos!O10," - ")</f>
        <v>6</v>
      </c>
      <c r="I10" s="452">
        <f t="shared" ref="I10:I13" si="2">IF(ISNUMBER(H10/B10),H10/B10," - ")</f>
        <v>6</v>
      </c>
    </row>
    <row r="11" spans="1:9">
      <c r="A11" s="450" t="str">
        <f>Datos!A11</f>
        <v xml:space="preserve">Jdos. Familia                                   </v>
      </c>
      <c r="B11" s="480">
        <f>Datos!AO11</f>
        <v>2</v>
      </c>
      <c r="C11" s="458">
        <f>Datos!AQ11</f>
        <v>2</v>
      </c>
      <c r="D11" s="451">
        <f>IF(ISNUMBER(Datos!M11),Datos!M11," - ")</f>
        <v>191</v>
      </c>
      <c r="E11" s="452">
        <f t="shared" si="0"/>
        <v>95.5</v>
      </c>
      <c r="F11" s="451">
        <f>IF(ISNUMBER(Datos!N11),Datos!N11," - ")</f>
        <v>239</v>
      </c>
      <c r="G11" s="452">
        <f t="shared" si="1"/>
        <v>119.5</v>
      </c>
      <c r="H11" s="451">
        <f>IF(ISNUMBER(Datos!O11),Datos!O11," - ")</f>
        <v>158</v>
      </c>
      <c r="I11" s="452">
        <f t="shared" si="2"/>
        <v>79</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854</v>
      </c>
      <c r="E14" s="1147">
        <f t="shared" si="0"/>
        <v>94.888888888888886</v>
      </c>
      <c r="F14" s="1146">
        <f>SUBTOTAL(9,F9:F13)</f>
        <v>935</v>
      </c>
      <c r="G14" s="1147">
        <f t="shared" si="1"/>
        <v>103.88888888888889</v>
      </c>
      <c r="H14" s="1146">
        <f>SUBTOTAL(9,H9:H13)</f>
        <v>1371</v>
      </c>
      <c r="I14" s="1147">
        <f>IF(ISNUMBER(H14/B14),H14/B14," - ")</f>
        <v>152.33333333333334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367</v>
      </c>
      <c r="E16" s="452">
        <f t="shared" ref="E16:E23" si="3">IF(ISNUMBER(D16/B16),D16/B16," - ")</f>
        <v>122.33333333333333</v>
      </c>
      <c r="F16" s="451">
        <f>IF(ISNUMBER(Datos!N16),Datos!N16," - ")</f>
        <v>829</v>
      </c>
      <c r="G16" s="452">
        <f t="shared" ref="G16:G23" si="4">IF(ISNUMBER(F16/B16),F16/B16," - ")</f>
        <v>276.33333333333331</v>
      </c>
      <c r="H16" s="451">
        <f>IF(ISNUMBER(Datos!O16),Datos!O16," - ")</f>
        <v>79</v>
      </c>
      <c r="I16" s="452">
        <f t="shared" ref="I16:I22" si="5">IF(ISNUMBER(H16/B16),H16/B16," - ")</f>
        <v>26.333333333333332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6</v>
      </c>
      <c r="E18" s="452">
        <f>IF(ISNUMBER(D18/B18),D18/B18," - ")</f>
        <v>6</v>
      </c>
      <c r="F18" s="451">
        <f>IF(ISNUMBER(Datos!N18),Datos!N18," - ")</f>
        <v>116</v>
      </c>
      <c r="G18" s="452">
        <f>IF(ISNUMBER(F18/B18),F18/B18," - ")</f>
        <v>116</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373</v>
      </c>
      <c r="E23" s="1147">
        <f t="shared" si="3"/>
        <v>93.25</v>
      </c>
      <c r="F23" s="1146">
        <f>SUBTOTAL(9,F16:F22)</f>
        <v>945</v>
      </c>
      <c r="G23" s="1147">
        <f t="shared" si="4"/>
        <v>236.25</v>
      </c>
      <c r="H23" s="1146">
        <f>SUBTOTAL(9,H16:H22)</f>
        <v>80</v>
      </c>
      <c r="I23" s="1147">
        <f>IF(ISNUMBER(H23/B23),H23/B23," - ")</f>
        <v>20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12</v>
      </c>
      <c r="C31" s="1084">
        <f>Datos!AR31</f>
        <v>12</v>
      </c>
      <c r="D31" s="1084">
        <f>SUBTOTAL(9,D8:D30)</f>
        <v>1227</v>
      </c>
      <c r="E31" s="1085">
        <f>IF(ISNUMBER(D31/B31),D31/B31," - ")</f>
        <v>102.25</v>
      </c>
      <c r="F31" s="1084">
        <f>SUBTOTAL(9,F8:F30)</f>
        <v>1880</v>
      </c>
      <c r="G31" s="1085">
        <f>IF(ISNUMBER(F31/B31),F31/B31," - ")</f>
        <v>156.66666666666666</v>
      </c>
      <c r="H31" s="1084">
        <f>SUBTOTAL(9,H8:H30)</f>
        <v>1451</v>
      </c>
      <c r="I31" s="1085">
        <f>IF(ISNUMBER(H31/B31),H31/B31," - ")</f>
        <v>120.91666666666667</v>
      </c>
    </row>
    <row r="34" spans="1:1">
      <c r="A34" s="439" t="str">
        <f>Criterios!A4</f>
        <v>Fecha Informe: 05 may. 2023</v>
      </c>
    </row>
    <row r="39" spans="1:1">
      <c r="A39" s="462"/>
    </row>
  </sheetData>
  <sheetProtection algorithmName="SHA-512" hashValue="InWApyOktpw6cQSzd2SS2pZJQr1nO8F2Rb2HBmvp6CRhgbZ13hzmiU0QdmtcNKaFxPnuRCXjVESbXeByW82bmQ==" saltValue="5GiWpB3gALrCnSVnISEx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ALBACETE</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563</v>
      </c>
      <c r="C9" s="489">
        <f>IF(ISNUMBER(Datos!Q9),Datos!Q9," - ")</f>
        <v>1277</v>
      </c>
      <c r="D9" s="456">
        <f>IF(ISNUMBER(Datos!R9),Datos!R9," - ")</f>
        <v>7472</v>
      </c>
    </row>
    <row r="10" spans="1:4">
      <c r="A10" s="450" t="str">
        <f>Datos!A10</f>
        <v>Jdos. Violencia contra la mujer</v>
      </c>
      <c r="B10" s="488">
        <f>IF(ISNUMBER(Datos!P10),Datos!P10," - ")</f>
        <v>10</v>
      </c>
      <c r="C10" s="489">
        <f>IF(ISNUMBER(Datos!Q10),Datos!Q10," - ")</f>
        <v>9</v>
      </c>
      <c r="D10" s="456">
        <f>IF(ISNUMBER(Datos!R10),Datos!R10," - ")</f>
        <v>78</v>
      </c>
    </row>
    <row r="11" spans="1:4">
      <c r="A11" s="450" t="str">
        <f>Datos!A11</f>
        <v xml:space="preserve">Jdos. Familia                                   </v>
      </c>
      <c r="B11" s="488">
        <f>IF(ISNUMBER(Datos!P11),Datos!P11," - ")</f>
        <v>60</v>
      </c>
      <c r="C11" s="489">
        <f>IF(ISNUMBER(Datos!Q11),Datos!Q11," - ")</f>
        <v>79</v>
      </c>
      <c r="D11" s="456">
        <f>IF(ISNUMBER(Datos!R11),Datos!R11," - ")</f>
        <v>458</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633</v>
      </c>
      <c r="C14" s="1150">
        <f>SUBTOTAL(9,C9:C13)</f>
        <v>1365</v>
      </c>
      <c r="D14" s="1148">
        <f>SUBTOTAL(9,D9:D13)</f>
        <v>8008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199</v>
      </c>
      <c r="C16" s="489">
        <f>IF(ISNUMBER(Datos!Q16),Datos!Q16," - ")</f>
        <v>140</v>
      </c>
      <c r="D16" s="456">
        <f>IF(ISNUMBER(Datos!R16),Datos!R16," - ")</f>
        <v>455</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201</v>
      </c>
      <c r="C23" s="1150">
        <f>SUBTOTAL(9,C16:C22)</f>
        <v>141</v>
      </c>
      <c r="D23" s="1148">
        <f>SUBTOTAL(9,D16:D22)</f>
        <v>456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834</v>
      </c>
      <c r="C31" s="1089">
        <f>SUBTOTAL(9,C8:C30)</f>
        <v>1506</v>
      </c>
      <c r="D31" s="1090">
        <f>SUBTOTAL(9,D8:D30)</f>
        <v>8464</v>
      </c>
    </row>
    <row r="32" spans="1:4" ht="7.5" customHeight="1"/>
    <row r="33" spans="1:1" ht="6" customHeight="1"/>
    <row r="34" spans="1:1">
      <c r="A34" s="439" t="str">
        <f>Criterios!A4</f>
        <v>Fecha Informe: 05 may. 2023</v>
      </c>
    </row>
    <row r="39" spans="1:1">
      <c r="A39" s="462"/>
    </row>
  </sheetData>
  <sheetProtection algorithmName="SHA-512" hashValue="fFOKfhXcZAU24/D5phLNYe4DcKWZHuGJYPTEHE2fXZMV4wQByQzcTzCD98cBV+iO9k1ao8ZnI24j1kB5Y2667g==" saltValue="a2TY7peEzhTbcuGzhD2H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ALBACETE</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5.329153605015674E-2</v>
      </c>
      <c r="C9" s="515">
        <f>IF(ISNUMBER(
   IF(J_V="SI",(Datos!J9-Datos!T9)/Datos!T9,(Datos!J9+Datos!Z9-(Datos!T9+Datos!AH9))/(Datos!T9+Datos!AH9))
     ),IF(J_V="SI",(Datos!J9-Datos!T9)/Datos!T9,(Datos!J9+Datos!Z9-(Datos!T9+Datos!AH9))/(Datos!T9+Datos!AH9))," - ")</f>
        <v>0.14258095698405027</v>
      </c>
      <c r="D9" s="515">
        <f>IF(ISNUMBER(
   IF(J_V="SI",(Datos!K9-Datos!U9)/Datos!U9,(Datos!K9+Datos!AA9-(Datos!U9+Datos!AI9))/(Datos!U9+Datos!AI9))
     ),IF(J_V="SI",(Datos!K9-Datos!U9)/Datos!U9,(Datos!K9+Datos!AA9-(Datos!U9+Datos!AI9))/(Datos!U9+Datos!AI9))," - ")</f>
        <v>-1.8099547511312218E-3</v>
      </c>
      <c r="E9" s="515">
        <f>IF(ISNUMBER(
   IF(J_V="SI",(Datos!L9-Datos!V9)/Datos!V9,(Datos!L9+Datos!AB9-(Datos!V9+Datos!AJ9))/(Datos!V9+Datos!AJ9))
     ),IF(J_V="SI",(Datos!L9-Datos!V9)/Datos!V9,(Datos!L9+Datos!AB9-(Datos!V9+Datos!AJ9))/(Datos!V9+Datos!AJ9))," - ")</f>
        <v>0.1475021533161068</v>
      </c>
      <c r="F9" s="515">
        <f>IF(ISNUMBER((Datos!M9-Datos!W9)/Datos!W9),(Datos!M9-Datos!W9)/Datos!W9," - ")</f>
        <v>0.33401639344262296</v>
      </c>
      <c r="G9" s="516">
        <f>IF(ISNUMBER((Datos!N9-Datos!X9)/Datos!X9),(Datos!N9-Datos!X9)/Datos!X9," - ")</f>
        <v>-0.17160493827160495</v>
      </c>
      <c r="H9" s="514">
        <f>IF(ISNUMBER(((NºAsuntos!G9/NºAsuntos!E9)-Datos!BD9)/Datos!BD9),((NºAsuntos!G9/NºAsuntos!E9)-Datos!BD9)/Datos!BD9," - ")</f>
        <v>-0.12637258730122272</v>
      </c>
      <c r="I9" s="515">
        <f>IF(ISNUMBER(((NºAsuntos!I9/NºAsuntos!G9)-Datos!BE9)/Datos!BE9),((NºAsuntos!I9/NºAsuntos!G9)-Datos!BE9)/Datos!BE9," - ")</f>
        <v>0.14958284625049675</v>
      </c>
      <c r="J9" s="521">
        <f>IF(ISNUMBER((('Resol  Asuntos'!D9/NºAsuntos!G9)-Datos!BF9)/Datos!BF9),(('Resol  Asuntos'!D9/NºAsuntos!G9)-Datos!BF9)/Datos!BF9," - ")</f>
        <v>-0.1948389913031798</v>
      </c>
      <c r="K9" s="522">
        <f>IF(ISNUMBER((((NºAsuntos!C9+NºAsuntos!E9)/NºAsuntos!G9)-Datos!BG9)/Datos!BG9),(((NºAsuntos!C9+NºAsuntos!E9)/NºAsuntos!G9)-Datos!BG9)/Datos!BG9," - ")</f>
        <v>8.2203852347405987E-2</v>
      </c>
    </row>
    <row r="10" spans="1:11">
      <c r="A10" s="450" t="str">
        <f>Datos!A10</f>
        <v>Jdos. Violencia contra la mujer</v>
      </c>
      <c r="B10" s="514">
        <f>IF(ISNUMBER((Datos!I10-Datos!S10)/Datos!S10),(Datos!I10-Datos!S10)/Datos!S10," - ")</f>
        <v>0.19402985074626866</v>
      </c>
      <c r="C10" s="515">
        <f>IF(ISNUMBER((Datos!J10-Datos!T10)/Datos!T10),(Datos!J10-Datos!T10)/Datos!T10," - ")</f>
        <v>0.26315789473684209</v>
      </c>
      <c r="D10" s="515">
        <f>IF(ISNUMBER((Datos!K10-Datos!U10)/Datos!U10),(Datos!K10-Datos!U10)/Datos!U10," - ")</f>
        <v>-0.12820512820512819</v>
      </c>
      <c r="E10" s="515">
        <f>IF(ISNUMBER((Datos!L10-Datos!V10)/Datos!V10),(Datos!L10-Datos!V10)/Datos!V10," - ")</f>
        <v>0.42424242424242425</v>
      </c>
      <c r="F10" s="515">
        <f>IF(ISNUMBER((Datos!M10-Datos!W10)/Datos!W10),(Datos!M10-Datos!W10)/Datos!W10," - ")</f>
        <v>-0.14285714285714285</v>
      </c>
      <c r="G10" s="516">
        <f>IF(ISNUMBER((Datos!N10-Datos!X10)/Datos!X10),(Datos!N10-Datos!X10)/Datos!X10," - ")</f>
        <v>4.1666666666666664E-2</v>
      </c>
      <c r="H10" s="514">
        <f>IF(ISNUMBER(((NºAsuntos!G10/NºAsuntos!E10)-Datos!BD10)/Datos!BD10),((NºAsuntos!G10/NºAsuntos!E10)-Datos!BD10)/Datos!BD10," - ")</f>
        <v>-0.30982905982905984</v>
      </c>
      <c r="I10" s="515">
        <f>IF(ISNUMBER(((NºAsuntos!I10/NºAsuntos!G10)-Datos!BE10)/Datos!BE10),((NºAsuntos!I10/NºAsuntos!G10)-Datos!BE10)/Datos!BE10," - ")</f>
        <v>0.63368983957219249</v>
      </c>
      <c r="J10" s="521">
        <f>IF(ISNUMBER((('Resol  Asuntos'!D10/NºAsuntos!G10)-Datos!BF10)/Datos!BF10),(('Resol  Asuntos'!D10/NºAsuntos!G10)-Datos!BF10)/Datos!BF10," - ")</f>
        <v>-1.6806722689075571E-2</v>
      </c>
      <c r="K10" s="522">
        <f>IF(ISNUMBER((((NºAsuntos!C10+NºAsuntos!E10)/NºAsuntos!G10)-Datos!BG10)/Datos!BG10),(((NºAsuntos!C10+NºAsuntos!E10)/NºAsuntos!G10)-Datos!BG10)/Datos!BG10," - ")</f>
        <v>0.3983193277310923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-0.29384615384615387</v>
      </c>
      <c r="C11" s="515">
        <f>IF(ISNUMBER(
   IF(J_V="SI",(Datos!J11-Datos!T11)/Datos!T11,(Datos!J11+Datos!Z11-(Datos!T11+Datos!AH11))/(Datos!T11+Datos!AH11))
     ),IF(J_V="SI",(Datos!J11-Datos!T11)/Datos!T11,(Datos!J11+Datos!Z11-(Datos!T11+Datos!AH11))/(Datos!T11+Datos!AH11))," - ")</f>
        <v>8.3032490974729242E-2</v>
      </c>
      <c r="D11" s="515">
        <f>IF(ISNUMBER(
   IF(J_V="SI",(Datos!K11-Datos!U11)/Datos!U11,(Datos!K11+Datos!AA11-(Datos!U11+Datos!AI11))/(Datos!U11+Datos!AI11))
     ),IF(J_V="SI",(Datos!K11-Datos!U11)/Datos!U11,(Datos!K11+Datos!AA11-(Datos!U11+Datos!AI11))/(Datos!U11+Datos!AI11))," - ")</f>
        <v>-3.663003663003663E-3</v>
      </c>
      <c r="E11" s="515">
        <f>IF(ISNUMBER(
   IF(J_V="SI",(Datos!L11-Datos!V11)/Datos!V11,(Datos!L11+Datos!AB11-(Datos!V11+Datos!AJ11))/(Datos!V11+Datos!AJ11))
     ),IF(J_V="SI",(Datos!L11-Datos!V11)/Datos!V11,(Datos!L11+Datos!AB11-(Datos!V11+Datos!AJ11))/(Datos!V11+Datos!AJ11))," - ")</f>
        <v>-0.15296052631578946</v>
      </c>
      <c r="F11" s="515">
        <f>IF(ISNUMBER((Datos!M11-Datos!W11)/Datos!W11),(Datos!M11-Datos!W11)/Datos!W11," - ")</f>
        <v>3.2432432432432434E-2</v>
      </c>
      <c r="G11" s="516">
        <f>IF(ISNUMBER((Datos!N11-Datos!X11)/Datos!X11),(Datos!N11-Datos!X11)/Datos!X11," - ")</f>
        <v>-0.12132352941176471</v>
      </c>
      <c r="H11" s="514">
        <f>IF(ISNUMBER(((NºAsuntos!G11/NºAsuntos!E11)-Datos!BD11)/Datos!BD11),((NºAsuntos!G11/NºAsuntos!E11)-Datos!BD11)/Datos!BD11," - ")</f>
        <v>-8.0048840048840109E-2</v>
      </c>
      <c r="I11" s="515">
        <f>IF(ISNUMBER(((NºAsuntos!I11/NºAsuntos!G11)-Datos!BE11)/Datos!BE11),((NºAsuntos!I11/NºAsuntos!G11)-Datos!BE11)/Datos!BE11," - ")</f>
        <v>-0.14984641060371523</v>
      </c>
      <c r="J11" s="521">
        <f>IF(ISNUMBER((('Resol  Asuntos'!D11/NºAsuntos!G11)-Datos!BF11)/Datos!BF11),(('Resol  Asuntos'!D11/NºAsuntos!G11)-Datos!BF11)/Datos!BF11," - ")</f>
        <v>-0.29521247837370246</v>
      </c>
      <c r="K11" s="522">
        <f>IF(ISNUMBER((((NºAsuntos!C11+NºAsuntos!E11)/NºAsuntos!G11)-Datos!BG11)/Datos!BG11),(((NºAsuntos!C11+NºAsuntos!E11)/NºAsuntos!G11)-Datos!BG11)/Datos!BG11," - ")</f>
        <v>-0.11719818741450071</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1.3994910941475827E-2</v>
      </c>
      <c r="C14" s="1152">
        <f>IF(ISNUMBER(
   IF(J_V="SI",(Datos!J14-Datos!T14)/Datos!T14,(Datos!J14+Datos!Z14-(Datos!T14+Datos!AH14))/(Datos!T14+Datos!AH14))
     ),IF(J_V="SI",(Datos!J14-Datos!T14)/Datos!T14,(Datos!J14+Datos!Z14-(Datos!T14+Datos!AH14))/(Datos!T14+Datos!AH14))," - ")</f>
        <v>0.1319052987598647</v>
      </c>
      <c r="D14" s="1152">
        <f>IF(ISNUMBER(
   IF(J_V="SI",(Datos!K14-Datos!U14)/Datos!U14,(Datos!K14+Datos!AA14-(Datos!U14+Datos!AI14))/(Datos!U14+Datos!AI14))
     ),IF(J_V="SI",(Datos!K14-Datos!U14)/Datos!U14,(Datos!K14+Datos!AA14-(Datos!U14+Datos!AI14))/(Datos!U14+Datos!AI14))," - ")</f>
        <v>-3.935599284436494E-3</v>
      </c>
      <c r="E14" s="1152">
        <f>IF(ISNUMBER(
   IF(J_V="SI",(Datos!L14-Datos!V14)/Datos!V14,(Datos!L14+Datos!AB14-(Datos!V14+Datos!AJ14))/(Datos!V14+Datos!AJ14))
     ),IF(J_V="SI",(Datos!L14-Datos!V14)/Datos!V14,(Datos!L14+Datos!AB14-(Datos!V14+Datos!AJ14))/(Datos!V14+Datos!AJ14))," - ")</f>
        <v>0.11658518239939827</v>
      </c>
      <c r="F14" s="1153">
        <f>IF(ISNUMBER((Datos!M14-Datos!W14)/Datos!W14),(Datos!M14-Datos!W14)/Datos!W14," - ")</f>
        <v>0.2430858806404658</v>
      </c>
      <c r="G14" s="1154">
        <f>IF(ISNUMBER((Datos!N14-Datos!X14)/Datos!X14),(Datos!N14-Datos!X14)/Datos!X14," - ")</f>
        <v>-0.1546112115732369</v>
      </c>
      <c r="H14" s="1154">
        <f>IF(ISNUMBER(((NºAsuntos!G14/NºAsuntos!E14)-Datos!BD14)/Datos!BD14),((NºAsuntos!G14/NºAsuntos!E14)-Datos!BD14)/Datos!BD14," - ")</f>
        <v>-0.12001083323236572</v>
      </c>
      <c r="I14" s="1154">
        <f>IF(ISNUMBER(((NºAsuntos!I14/NºAsuntos!G14)-Datos!BE14)/Datos!BE14),((NºAsuntos!I14/NºAsuntos!G14)-Datos!BE14)/Datos!BE14," - ")</f>
        <v>0.12099697730111997</v>
      </c>
      <c r="J14" s="1154">
        <f>IF(ISNUMBER((('Resol  Asuntos'!D14/NºAsuntos!G14)-Datos!BF14)/Datos!BF14),(('Resol  Asuntos'!D14/NºAsuntos!G14)-Datos!BF14)/Datos!BF14," - ")</f>
        <v>-0.21772419561204795</v>
      </c>
      <c r="K14" s="1154">
        <f>IF(ISNUMBER((((NºAsuntos!C14+NºAsuntos!E14)/NºAsuntos!G14)-Datos!BG14)/Datos!BG14),(((NºAsuntos!C14+NºAsuntos!E14)/NºAsuntos!G14)-Datos!BG14)/Datos!BG14," - ")</f>
        <v>5.6590018952914906E-2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-8.9709762532981532E-2</v>
      </c>
      <c r="C16" s="515">
        <f>IF(ISNUMBER(
   IF(D_I="SI",(Datos!J16-Datos!T16)/Datos!T16,(Datos!J16+Datos!AD16-(Datos!T16+Datos!AL16))/(Datos!T16+Datos!AL16))
     ),IF(D_I="SI",(Datos!J16-Datos!T16)/Datos!T16,(Datos!J16+Datos!AD16-(Datos!T16+Datos!AL16))/(Datos!T16+Datos!AL16))," - ")</f>
        <v>0.26845199216198562</v>
      </c>
      <c r="D16" s="515">
        <f>IF(ISNUMBER(
   IF(D_I="SI",(Datos!K16-Datos!U16)/Datos!U16,(Datos!K16+Datos!AE16-(Datos!U16+Datos!AM16))/(Datos!U16+Datos!AM16))
     ),IF(D_I="SI",(Datos!K16-Datos!U16)/Datos!U16,(Datos!K16+Datos!AE16-(Datos!U16+Datos!AM16))/(Datos!U16+Datos!AM16))," - ")</f>
        <v>0.2429514097180564</v>
      </c>
      <c r="E16" s="515">
        <f>IF(ISNUMBER(
   IF(D_I="SI",(Datos!L16-Datos!V16)/Datos!V16,(Datos!L16+Datos!AF16-(Datos!V16+Datos!AN16))/(Datos!V16+Datos!AN16))
     ),IF(D_I="SI",(Datos!L16-Datos!V16)/Datos!V16,(Datos!L16+Datos!AF16-(Datos!V16+Datos!AN16))/(Datos!V16+Datos!AN16))," - ")</f>
        <v>-9.1660923501033775E-2</v>
      </c>
      <c r="F16" s="515">
        <f>IF(ISNUMBER((Datos!M16-Datos!W16)/Datos!W16),(Datos!M16-Datos!W16)/Datos!W16," - ")</f>
        <v>-6.8527918781725886E-2</v>
      </c>
      <c r="G16" s="516">
        <f>IF(ISNUMBER((Datos!N16-Datos!X16)/Datos!X16),(Datos!N16-Datos!X16)/Datos!X16," - ")</f>
        <v>0.19971056439942114</v>
      </c>
      <c r="H16" s="514">
        <f>IF(ISNUMBER(((NºAsuntos!G16/NºAsuntos!E16)-Datos!BD16)/Datos!BD16),((NºAsuntos!G16/NºAsuntos!E16)-Datos!BD16)/Datos!BD16," - ")</f>
        <v>-2.0103703255229442E-2</v>
      </c>
      <c r="I16" s="515">
        <f>IF(ISNUMBER(((NºAsuntos!I16/NºAsuntos!G16)-Datos!BE16)/Datos!BE16),((NºAsuntos!I16/NºAsuntos!G16)-Datos!BE16)/Datos!BE16," - ")</f>
        <v>-0.26920789550010776</v>
      </c>
      <c r="J16" s="521">
        <f>IF(ISNUMBER((('Resol  Asuntos'!D16/NºAsuntos!G16)-Datos!BF16)/Datos!BF16),(('Resol  Asuntos'!D16/NºAsuntos!G16)-Datos!BF16)/Datos!BF16," - ")</f>
        <v>-0.25059654469552944</v>
      </c>
      <c r="K16" s="522">
        <f>IF(ISNUMBER((((NºAsuntos!C16+NºAsuntos!E16)/NºAsuntos!G16)-Datos!BG16)/Datos!BG16),(((NºAsuntos!C16+NºAsuntos!E16)/NºAsuntos!G16)-Datos!BG16)/Datos!BG16," - ")</f>
        <v>-0.17095519018595939</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-8.6065573770491802E-2</v>
      </c>
      <c r="C18" s="515">
        <f>IF(ISNUMBER(
   IF(D_I="SI",(Datos!J18-Datos!T18)/Datos!T18,(Datos!J18+Datos!AD18-(Datos!T18+Datos!AL18))/(Datos!T18+Datos!AL18))
     ),IF(D_I="SI",(Datos!J18-Datos!T18)/Datos!T18,(Datos!J18+Datos!AD18-(Datos!T18+Datos!AL18))/(Datos!T18+Datos!AL18))," - ")</f>
        <v>7.1090047393364927E-2</v>
      </c>
      <c r="D18" s="515">
        <f>IF(ISNUMBER(
   IF(D_I="SI",(Datos!K18-Datos!U18)/Datos!U18,(Datos!K18+Datos!AE18-(Datos!U18+Datos!AM18))/(Datos!U18+Datos!AM18))
     ),IF(D_I="SI",(Datos!K18-Datos!U18)/Datos!U18,(Datos!K18+Datos!AE18-(Datos!U18+Datos!AM18))/(Datos!U18+Datos!AM18))," - ")</f>
        <v>-0.25510204081632654</v>
      </c>
      <c r="E18" s="515">
        <f>IF(ISNUMBER(
   IF(D_I="SI",(Datos!L18-Datos!V18)/Datos!V18,(Datos!L18+Datos!AF18-(Datos!V18+Datos!AN18))/(Datos!V18+Datos!AN18))
     ),IF(D_I="SI",(Datos!L18-Datos!V18)/Datos!V18,(Datos!L18+Datos!AF18-(Datos!V18+Datos!AN18))/(Datos!V18+Datos!AN18))," - ")</f>
        <v>0.43478260869565216</v>
      </c>
      <c r="F18" s="515">
        <f>IF(ISNUMBER((Datos!M18-Datos!W18)/Datos!W18),(Datos!M18-Datos!W18)/Datos!W18," - ")</f>
        <v>-0.25</v>
      </c>
      <c r="G18" s="516">
        <f>IF(ISNUMBER((Datos!N18-Datos!X18)/Datos!X18),(Datos!N18-Datos!X18)/Datos!X18," - ")</f>
        <v>-0.27044025157232704</v>
      </c>
      <c r="H18" s="514">
        <f>IF(ISNUMBER(((NºAsuntos!G18/NºAsuntos!E18)-Datos!BD18)/Datos!BD18),((NºAsuntos!G18/NºAsuntos!E18)-Datos!BD18)/Datos!BD18," - ")</f>
        <v>-0.30454217085064117</v>
      </c>
      <c r="I18" s="515">
        <f>IF(ISNUMBER(((NºAsuntos!I18/NºAsuntos!G18)-Datos!BE18)/Datos!BE18),((NºAsuntos!I18/NºAsuntos!G18)-Datos!BE18)/Datos!BE18," - ")</f>
        <v>0.92614651578320406</v>
      </c>
      <c r="J18" s="521">
        <f>IF(ISNUMBER((('Resol  Asuntos'!D18/NºAsuntos!G18)-Datos!BF18)/Datos!BF18),(('Resol  Asuntos'!D18/NºAsuntos!G18)-Datos!BF18)/Datos!BF18," - ")</f>
        <v>6.8493150684931321E-3</v>
      </c>
      <c r="K18" s="522">
        <f>IF(ISNUMBER((((NºAsuntos!C18+NºAsuntos!E18)/NºAsuntos!G18)-Datos!BG18)/Datos!BG18),(((NºAsuntos!C18+NºAsuntos!E18)/NºAsuntos!G18)-Datos!BG18)/Datos!BG18," - ")</f>
        <v>0.32476290832455212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-8.943833943833944E-2</v>
      </c>
      <c r="C23" s="1152">
        <f>IF(ISNUMBER(
   IF(Criterios!B14="SI",(Datos!J23-Datos!T23)/Datos!T23,(Datos!J23+Datos!AD23-(Datos!T23+Datos!AL23))/(Datos!T23+Datos!AL23))
     ),IF(Criterios!B14="SI",(Datos!J23-Datos!T23)/Datos!T23,(Datos!J23+Datos!AD23-(Datos!T23+Datos!AL23))/(Datos!T23+Datos!AL23))," - ")</f>
        <v>0.24454649827784156</v>
      </c>
      <c r="D23" s="1152">
        <f>IF(ISNUMBER(
   IF(Criterios!B14="SI",(Datos!K23-Datos!U23)/Datos!U23,(Datos!K23+Datos!AE23-(Datos!U23+Datos!AM23))/(Datos!U23+Datos!AM23))
     ),IF(Criterios!B14="SI",(Datos!K23-Datos!U23)/Datos!U23,(Datos!K23+Datos!AE23-(Datos!U23+Datos!AM23))/(Datos!U23+Datos!AM23))," - ")</f>
        <v>0.16828148903620602</v>
      </c>
      <c r="E23" s="1152">
        <f>IF(ISNUMBER(
   IF(Criterios!B14="SI",(Datos!L23-Datos!V23)/Datos!V23,(Datos!L23+Datos!AF23-(Datos!V23+Datos!AN23))/(Datos!V23+Datos!AN23))
     ),IF(Criterios!B14="SI",(Datos!L23-Datos!V23)/Datos!V23,(Datos!L23+Datos!AF23-(Datos!V23+Datos!AN23))/(Datos!V23+Datos!AN23))," - ")</f>
        <v>-6.398955272608553E-2</v>
      </c>
      <c r="F23" s="1153">
        <f>IF(ISNUMBER((Datos!M23-Datos!W23)/Datos!W23),(Datos!M23-Datos!W23)/Datos!W23," - ")</f>
        <v>-7.2139303482587069E-2</v>
      </c>
      <c r="G23" s="1154">
        <f>IF(ISNUMBER((Datos!N23-Datos!X23)/Datos!X23),(Datos!N23-Datos!X23)/Datos!X23," - ")</f>
        <v>0.11176470588235295</v>
      </c>
      <c r="H23" s="1154">
        <f>IF(ISNUMBER(((NºAsuntos!G23/NºAsuntos!E23)-Datos!BD23)/Datos!BD23),((NºAsuntos!G23/NºAsuntos!E23)-Datos!BD23)/Datos!BD23," - ")</f>
        <v>-6.1279357056701643E-2</v>
      </c>
      <c r="I23" s="1154">
        <f>IF(ISNUMBER(((NºAsuntos!I23/NºAsuntos!G23)-Datos!BE23)/Datos!BE23),((NºAsuntos!I23/NºAsuntos!G23)-Datos!BE23)/Datos!BE23," - ")</f>
        <v>-0.19881427887204431</v>
      </c>
      <c r="J23" s="1154">
        <f>IF(ISNUMBER((('Resol  Asuntos'!D23/NºAsuntos!G23)-Datos!BF23)/Datos!BF23),(('Resol  Asuntos'!D23/NºAsuntos!G23)-Datos!BF23)/Datos!BF23," - ")</f>
        <v>-0.20579012401979621</v>
      </c>
      <c r="K23" s="1154">
        <f>IF(ISNUMBER((((NºAsuntos!C23+NºAsuntos!E23)/NºAsuntos!G23)-Datos!BG23)/Datos!BG23),(((NºAsuntos!C23+NºAsuntos!E23)/NºAsuntos!G23)-Datos!BG23)/Datos!BG23," - ")</f>
        <v>-0.12135509024778368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-2.4606971975393029E-2</v>
      </c>
      <c r="C31" s="1092">
        <f>IF(ISNUMBER(
   IF(J_V="SI",(Datos!J31-Datos!T31)/Datos!T31,(Datos!J31+Datos!Z31-(Datos!T31+Datos!AH31))/(Datos!T31+Datos!AH31))
     ),IF(J_V="SI",(Datos!J31-Datos!T31)/Datos!T31,(Datos!J31+Datos!Z31-(Datos!T31+Datos!AH31))/(Datos!T31+Datos!AH31))," - ")</f>
        <v>0.17647058823529413</v>
      </c>
      <c r="D31" s="1092">
        <f>IF(ISNUMBER(
   IF(J_V="SI",(Datos!K31-Datos!U31)/Datos!U31,(Datos!K31+Datos!AA31-(Datos!U31+Datos!AI31))/(Datos!U31+Datos!AI31))
     ),IF(J_V="SI",(Datos!K31-Datos!U31)/Datos!U31,(Datos!K31+Datos!AA31-(Datos!U31+Datos!AI31))/(Datos!U31+Datos!AI31))," - ")</f>
        <v>6.7073170731707321E-2</v>
      </c>
      <c r="E31" s="1092">
        <f>IF(ISNUMBER(
   IF(J_V="SI",(Datos!L31-Datos!V31)/Datos!V31,(Datos!L31+Datos!AB31-(Datos!V31+Datos!AJ31))/(Datos!V31+Datos!AJ31))
     ),IF(J_V="SI",(Datos!L31-Datos!V31)/Datos!V31,(Datos!L31+Datos!AB31-(Datos!V31+Datos!AJ31))/(Datos!V31+Datos!AJ31))," - ")</f>
        <v>5.0590621644195206E-2</v>
      </c>
      <c r="F31" s="1093">
        <f>IF(ISNUMBER((Datos!M31-Datos!W31)/Datos!W31),(Datos!M31-Datos!W31)/Datos!W31," - ")</f>
        <v>0.12672176308539945</v>
      </c>
      <c r="G31" s="1094">
        <f>IF(ISNUMBER((Datos!N31-Datos!X31)/Datos!X31),(Datos!N31-Datos!X31)/Datos!X31," - ")</f>
        <v>-3.8854805725971372E-2</v>
      </c>
      <c r="H31" s="1095">
        <f>IF(ISNUMBER((Tasas!B31-Datos!BD31)/Datos!BD31),(Tasas!B31-Datos!BD31)/Datos!BD31," - ")</f>
        <v>-9.2987804878048738E-2</v>
      </c>
      <c r="I31" s="1096">
        <f>IF(ISNUMBER((Tasas!C31-Datos!BE31)/Datos!BE31),(Tasas!C31-Datos!BE31)/Datos!BE31," - ")</f>
        <v>-1.5446503144868532E-2</v>
      </c>
      <c r="J31" s="1097">
        <f>IF(ISNUMBER((Tasas!D31-Datos!BF31)/Datos!BF31),(Tasas!D31-Datos!BF31)/Datos!BF31," - ")</f>
        <v>-0.2323936677474728</v>
      </c>
      <c r="K31" s="1097">
        <f>IF(ISNUMBER((Tasas!E31-Datos!BG31)/Datos!BG31),(Tasas!E31-Datos!BG31)/Datos!BG31," - ")</f>
        <v>-2.2971159786272361E-2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9aP5SpHSq+9IOmffCAmg9a3cJ2hqEhK8GTaiFo8UBik4sZkOc7gpfHWmNLSGPw96mJmUUKD6uMIm4Wkz8Yxjw==" saltValue="AZqPxZ0EmNGvKKxBCied8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ALBACETE</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0.93316412859560072</v>
      </c>
      <c r="C9" s="498">
        <f>IF(ISNUMBER(NºAsuntos!I9/NºAsuntos!G9),NºAsuntos!I9/NºAsuntos!G9," - ")</f>
        <v>2.4156844968268358</v>
      </c>
      <c r="D9" s="499">
        <f>IF(ISNUMBER('Resol  Asuntos'!D9/NºAsuntos!G9),'Resol  Asuntos'!D9/NºAsuntos!G9," - ")</f>
        <v>0.29510426110607435</v>
      </c>
      <c r="E9" s="500">
        <f>IF(ISNUMBER((NºAsuntos!C9+NºAsuntos!E9)/NºAsuntos!G9),(NºAsuntos!C9+NºAsuntos!E9)/NºAsuntos!G9," - ")</f>
        <v>3.3563009972801452</v>
      </c>
      <c r="G9" s="523"/>
    </row>
    <row r="10" spans="1:7">
      <c r="A10" s="450" t="str">
        <f>Datos!A10</f>
        <v>Jdos. Violencia contra la mujer</v>
      </c>
      <c r="B10" s="497">
        <f>IF(ISNUMBER(NºAsuntos!G10/NºAsuntos!E10),NºAsuntos!G10/NºAsuntos!E10," - ")</f>
        <v>0.70833333333333337</v>
      </c>
      <c r="C10" s="498">
        <f>IF(ISNUMBER(NºAsuntos!I10/NºAsuntos!G10),NºAsuntos!I10/NºAsuntos!G10," - ")</f>
        <v>2.7647058823529411</v>
      </c>
      <c r="D10" s="499">
        <f>IF(ISNUMBER('Resol  Asuntos'!D10/NºAsuntos!G10),'Resol  Asuntos'!D10/NºAsuntos!G10," - ")</f>
        <v>0.35294117647058826</v>
      </c>
      <c r="E10" s="500">
        <f>IF(ISNUMBER((NºAsuntos!C10+NºAsuntos!E10)/NºAsuntos!G10),(NºAsuntos!C10+NºAsuntos!E10)/NºAsuntos!G10," - ")</f>
        <v>3.7647058823529411</v>
      </c>
      <c r="G10" s="523"/>
    </row>
    <row r="11" spans="1:7">
      <c r="A11" s="450" t="str">
        <f>Datos!A11</f>
        <v xml:space="preserve">Jdos. Familia                                   </v>
      </c>
      <c r="B11" s="497">
        <f>IF(ISNUMBER(NºAsuntos!G11/NºAsuntos!E11),NºAsuntos!G11/NºAsuntos!E11," - ")</f>
        <v>0.90666666666666662</v>
      </c>
      <c r="C11" s="498">
        <f>IF(ISNUMBER(NºAsuntos!I11/NºAsuntos!G11),NºAsuntos!I11/NºAsuntos!G11," - ")</f>
        <v>0.9466911764705882</v>
      </c>
      <c r="D11" s="499">
        <f>IF(ISNUMBER('Resol  Asuntos'!D11/NºAsuntos!G11),'Resol  Asuntos'!D11/NºAsuntos!G11," - ")</f>
        <v>0.35110294117647056</v>
      </c>
      <c r="E11" s="500">
        <f>IF(ISNUMBER((NºAsuntos!C11+NºAsuntos!E11)/NºAsuntos!G11),(NºAsuntos!C11+NºAsuntos!E11)/NºAsuntos!G11," - ")</f>
        <v>1.9466911764705883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0.92430278884462147</v>
      </c>
      <c r="C14" s="1156">
        <f>IF(ISNUMBER(NºAsuntos!I14/NºAsuntos!G14),NºAsuntos!I14/NºAsuntos!G14," - ")</f>
        <v>2.1329022988505746</v>
      </c>
      <c r="D14" s="1157">
        <f>IF(ISNUMBER('Resol  Asuntos'!D14/NºAsuntos!G14),'Resol  Asuntos'!D14/NºAsuntos!G14," - ")</f>
        <v>0.3067528735632184</v>
      </c>
      <c r="E14" s="1158">
        <f>IF(ISNUMBER((NºAsuntos!C14+NºAsuntos!E14)/NºAsuntos!G14),(NºAsuntos!C14+NºAsuntos!E14)/NºAsuntos!G14," - ")</f>
        <v>3.0858477011494254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1.066941297631308</v>
      </c>
      <c r="C16" s="498">
        <f>IF(ISNUMBER(NºAsuntos!I16/NºAsuntos!G16),NºAsuntos!I16/NºAsuntos!G16," - ")</f>
        <v>1.2722007722007722</v>
      </c>
      <c r="D16" s="499">
        <f>IF(ISNUMBER('Resol  Asuntos'!D16/NºAsuntos!G16),'Resol  Asuntos'!D16/NºAsuntos!G16," - ")</f>
        <v>0.17712355212355213</v>
      </c>
      <c r="E16" s="500">
        <f>IF(ISNUMBER((NºAsuntos!C16+NºAsuntos!E16)/NºAsuntos!G16),(NºAsuntos!C16+NºAsuntos!E16)/NºAsuntos!G16," - ")</f>
        <v>2.2693050193050195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0.96902654867256632</v>
      </c>
      <c r="C18" s="498">
        <f>IF(ISNUMBER(NºAsuntos!I18/NºAsuntos!G18),NºAsuntos!I18/NºAsuntos!G18," - ")</f>
        <v>1.0547945205479452</v>
      </c>
      <c r="D18" s="499">
        <f>IF(ISNUMBER('Resol  Asuntos'!D18/NºAsuntos!G18),'Resol  Asuntos'!D18/NºAsuntos!G18," - ")</f>
        <v>2.7397260273972601E-2</v>
      </c>
      <c r="E18" s="500">
        <f>IF(ISNUMBER((NºAsuntos!C18+NºAsuntos!E18)/NºAsuntos!G18),(NºAsuntos!C18+NºAsuntos!E18)/NºAsuntos!G18," - ")</f>
        <v>2.0502283105022832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1.0567343173431734</v>
      </c>
      <c r="C23" s="1156">
        <f>IF(ISNUMBER(NºAsuntos!I23/NºAsuntos!G23),NºAsuntos!I23/NºAsuntos!G23," - ")</f>
        <v>1.2514185945002183</v>
      </c>
      <c r="D23" s="1159">
        <f>IF(ISNUMBER('Resol  Asuntos'!D23/NºAsuntos!G23),'Resol  Asuntos'!D23/NºAsuntos!G23," - ")</f>
        <v>0.16281099956350939</v>
      </c>
      <c r="E23" s="1158">
        <f>IF(ISNUMBER((NºAsuntos!C23+NºAsuntos!E23)/NºAsuntos!G23),(NºAsuntos!C23+NºAsuntos!E23)/NºAsuntos!G23," - ")</f>
        <v>2.248363160192056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0.97972972972972971</v>
      </c>
      <c r="C31" s="1099">
        <f>IF(ISNUMBER(NºAsuntos!I31/NºAsuntos!G31),NºAsuntos!I31/NºAsuntos!G31," - ")</f>
        <v>1.734975369458128</v>
      </c>
      <c r="D31" s="1100">
        <f>IF(ISNUMBER('Resol  Asuntos'!D31/NºAsuntos!G31),'Resol  Asuntos'!D31/NºAsuntos!G31," - ")</f>
        <v>0.24177339901477832</v>
      </c>
      <c r="E31" s="1101">
        <f>IF(ISNUMBER((NºAsuntos!C31+NºAsuntos!E31)/NºAsuntos!G31),(NºAsuntos!C31+NºAsuntos!E31)/NºAsuntos!G31," - ")</f>
        <v>2.7077832512315272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YjQhr9PXa422EiQ4qFtvT8htm/0rOhM9TPjaw6uiBpW0twVpXJGj9cyk0w+PBqxmn1Eahk87OvG7iWV1ERPww==" saltValue="/avo2+9HqzkzhF9h3zBpj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ALBACETE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563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1277</v>
      </c>
      <c r="Y9" s="374">
        <f>SUM(W9:X9)</f>
        <v>1277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7472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651</v>
      </c>
      <c r="AJ9" s="243" t="str">
        <f>IF(ISNUMBER(Datos!BW9),Datos!BW9," - ")</f>
        <v xml:space="preserve"> - </v>
      </c>
      <c r="AK9" s="242" t="str">
        <f>IF(ISNUMBER(Datos!BX9),Datos!BX9," - ")</f>
        <v xml:space="preserve"> - </v>
      </c>
      <c r="AL9" s="266">
        <f>IF(ISNUMBER(NºAsuntos!G9/NºAsuntos!E9),NºAsuntos!G9/NºAsuntos!E9," - ")</f>
        <v>0.93316412859560072</v>
      </c>
      <c r="AM9" s="284">
        <f>IF(ISNUMBER(((NºAsuntos!I9/NºAsuntos!G9)*11)/factor_trimestre),((NºAsuntos!I9/NºAsuntos!G9)*11)/factor_trimestre," - ")</f>
        <v>7.247053490480508</v>
      </c>
      <c r="AN9" s="267">
        <f>IF(ISNUMBER('Resol  Asuntos'!D9/NºAsuntos!G9),'Resol  Asuntos'!D9/NºAsuntos!G9," - ")</f>
        <v>0.29510426110607435</v>
      </c>
      <c r="AO9" s="268">
        <f>IF(ISNUMBER((NºAsuntos!C9+NºAsuntos!E9)/NºAsuntos!G9),(NºAsuntos!C9+NºAsuntos!E9)/NºAsuntos!G9," - ")</f>
        <v>3.3563009972801452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80</v>
      </c>
      <c r="G10" s="373">
        <f>IF(ISNUMBER(Datos!I10),Datos!I10," - ")</f>
        <v>80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34</v>
      </c>
      <c r="X10" s="240">
        <f>IF(ISNUMBER(Datos!Q10),Datos!Q10," - ")</f>
        <v>9</v>
      </c>
      <c r="Y10" s="374">
        <f t="shared" ref="Y10:Y13" si="0">SUM(W10:X10)</f>
        <v>43</v>
      </c>
      <c r="Z10" s="375" t="str">
        <f>IF(ISNUMBER(Datos!CC10),Datos!CC10," - ")</f>
        <v xml:space="preserve"> - </v>
      </c>
      <c r="AA10" s="372">
        <f>IF(ISNUMBER(Datos!L10),Datos!L10,"-")</f>
        <v>94</v>
      </c>
      <c r="AB10" s="374">
        <f>IF(ISNUMBER(Datos!R10),Datos!R10," - ")</f>
        <v>78</v>
      </c>
      <c r="AC10" s="374">
        <f t="shared" ref="AC10:AC13" si="1">IF(ISNUMBER(AA10+AB10),AA10+AB10," - ")</f>
        <v>172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0.70833333333333337</v>
      </c>
      <c r="AM10" s="284">
        <f>IF(ISNUMBER(((NºAsuntos!I10/NºAsuntos!G10)*11)/factor_trimestre),((NºAsuntos!I10/NºAsuntos!G10)*11)/factor_trimestre," - ")</f>
        <v>8.2941176470588243</v>
      </c>
      <c r="AN10" s="267">
        <f>IF(ISNUMBER('Resol  Asuntos'!D10/NºAsuntos!G10),'Resol  Asuntos'!D10/NºAsuntos!G10," - ")</f>
        <v>0.35294117647058826</v>
      </c>
      <c r="AO10" s="268">
        <f>IF(ISNUMBER((NºAsuntos!C10+NºAsuntos!E10)/NºAsuntos!G10),(NºAsuntos!C10+NºAsuntos!E10)/NºAsuntos!G10," - ")</f>
        <v>3.7647058823529411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79</v>
      </c>
      <c r="Y11" s="374">
        <f t="shared" si="0"/>
        <v>79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458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191</v>
      </c>
      <c r="AJ11" s="245" t="str">
        <f>IF(ISNUMBER(Datos!BW11),Datos!BW11," - ")</f>
        <v xml:space="preserve"> - </v>
      </c>
      <c r="AK11" s="246" t="str">
        <f>IF(ISNUMBER(Datos!BX11),Datos!BX11," - ")</f>
        <v xml:space="preserve"> - </v>
      </c>
      <c r="AL11" s="266">
        <f>IF(ISNUMBER(NºAsuntos!G11/NºAsuntos!E11),NºAsuntos!G11/NºAsuntos!E11," - ")</f>
        <v>0.90666666666666662</v>
      </c>
      <c r="AM11" s="284">
        <f>IF(ISNUMBER(((NºAsuntos!I11/NºAsuntos!G11)*11)/factor_trimestre),((NºAsuntos!I11/NºAsuntos!G11)*11)/factor_trimestre," - ")</f>
        <v>2.8400735294117649</v>
      </c>
      <c r="AN11" s="267">
        <f>IF(ISNUMBER('Resol  Asuntos'!D11/NºAsuntos!G11),'Resol  Asuntos'!D11/NºAsuntos!G11," - ")</f>
        <v>0.35110294117647056</v>
      </c>
      <c r="AO11" s="268">
        <f>IF(ISNUMBER((NºAsuntos!C11+NºAsuntos!E11)/NºAsuntos!G11),(NºAsuntos!C11+NºAsuntos!E11)/NºAsuntos!G11," - ")</f>
        <v>1.9466911764705883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80</v>
      </c>
      <c r="G14" s="1163">
        <f t="shared" si="5"/>
        <v>80</v>
      </c>
      <c r="H14" s="1162">
        <f t="shared" si="5"/>
        <v>0</v>
      </c>
      <c r="I14" s="1164">
        <f t="shared" si="5"/>
        <v>0</v>
      </c>
      <c r="J14" s="1164">
        <f t="shared" si="5"/>
        <v>0</v>
      </c>
      <c r="K14" s="1164">
        <f t="shared" si="5"/>
        <v>0</v>
      </c>
      <c r="L14" s="1164">
        <f t="shared" si="5"/>
        <v>633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34</v>
      </c>
      <c r="X14" s="1164">
        <f t="shared" si="6"/>
        <v>1365</v>
      </c>
      <c r="Y14" s="1165">
        <f t="shared" si="6"/>
        <v>1399</v>
      </c>
      <c r="Z14" s="1165">
        <f t="shared" si="6"/>
        <v>0</v>
      </c>
      <c r="AA14" s="1165">
        <f t="shared" si="6"/>
        <v>94</v>
      </c>
      <c r="AB14" s="1165">
        <f t="shared" si="6"/>
        <v>8008</v>
      </c>
      <c r="AC14" s="1165">
        <f t="shared" si="6"/>
        <v>172</v>
      </c>
      <c r="AD14" s="1165">
        <f t="shared" si="6"/>
        <v>0</v>
      </c>
      <c r="AE14" s="1169">
        <f t="shared" si="6"/>
        <v>0</v>
      </c>
      <c r="AF14" s="1162">
        <f t="shared" si="6"/>
        <v>0</v>
      </c>
      <c r="AG14" s="1170">
        <f t="shared" si="6"/>
        <v>0</v>
      </c>
      <c r="AH14" s="1167">
        <f t="shared" si="6"/>
        <v>0</v>
      </c>
      <c r="AI14" s="1162">
        <f t="shared" si="6"/>
        <v>854</v>
      </c>
      <c r="AJ14" s="1164">
        <f t="shared" si="6"/>
        <v>0</v>
      </c>
      <c r="AK14" s="1167">
        <f>SUBTOTAL(9,AK9:AK13)</f>
        <v>0</v>
      </c>
      <c r="AL14" s="1171">
        <f>IF(ISNUMBER(NºAsuntos!G14/NºAsuntos!E14),NºAsuntos!G14/NºAsuntos!E14," - ")</f>
        <v>0.92430278884462147</v>
      </c>
      <c r="AM14" s="1171">
        <f>IF(ISNUMBER(((NºAsuntos!I14/NºAsuntos!G14)*11)/factor_trimestre),((NºAsuntos!I14/NºAsuntos!G14)*11)/factor_trimestre," - ")</f>
        <v>6.3987068965517233</v>
      </c>
      <c r="AN14" s="1172">
        <f>IF(ISNUMBER('Resol  Asuntos'!D14/NºAsuntos!G14),'Resol  Asuntos'!D14/NºAsuntos!G14," - ")</f>
        <v>0.3067528735632184</v>
      </c>
      <c r="AO14" s="1173">
        <f>IF(ISNUMBER((NºAsuntos!C14+NºAsuntos!E14)/NºAsuntos!G14),(NºAsuntos!C14+NºAsuntos!E14)/NºAsuntos!G14," - ")</f>
        <v>3.0858477011494254</v>
      </c>
      <c r="AP14" s="1174" t="str">
        <f t="shared" si="2"/>
        <v xml:space="preserve"> - </v>
      </c>
      <c r="AQ14" s="1174">
        <f>IF(ISNUMBER((H14-W14+K14)/(F14)),(H14-W14+K14)/(F14)," - ")</f>
        <v>-0.42499999999999999</v>
      </c>
      <c r="AR14" s="1175">
        <f>IF(ISNUMBER((Datos!P14-Datos!Q14)/(Datos!R14-Datos!P14+Datos!Q14)),(Datos!P14-Datos!Q14)/(Datos!R14-Datos!P14+Datos!Q14)," - ")</f>
        <v>-8.3752860411899319E-2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2766</v>
      </c>
      <c r="G16" s="373">
        <f>IF(ISNUMBER(IF(D_I="SI",Datos!I16,Datos!I16+Datos!AC16)),IF(D_I="SI",Datos!I16,Datos!I16+Datos!AC16)," - ")</f>
        <v>2760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199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2072</v>
      </c>
      <c r="X16" s="240">
        <f>IF(ISNUMBER(Datos!Q16),Datos!Q16," - ")</f>
        <v>140</v>
      </c>
      <c r="Y16" s="374">
        <f>SUM(W16)</f>
        <v>2072</v>
      </c>
      <c r="Z16" s="375" t="str">
        <f>IF(ISNUMBER(Datos!CC16),Datos!CC16," - ")</f>
        <v xml:space="preserve"> - </v>
      </c>
      <c r="AA16" s="372">
        <f>IF(ISNUMBER(IF(D_I="SI",Datos!L16,Datos!L16+Datos!AF16)),IF(D_I="SI",Datos!L16,Datos!L16+Datos!AF16)," - ")</f>
        <v>2636</v>
      </c>
      <c r="AB16" s="374">
        <f>IF(ISNUMBER(Datos!R16),Datos!R16," - ")</f>
        <v>455</v>
      </c>
      <c r="AC16" s="374">
        <f t="shared" ref="AC16:AC22" si="8">IF(ISNUMBER(AA16+AB16),AA16+AB16," - ")</f>
        <v>3091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367</v>
      </c>
      <c r="AJ16" s="245" t="str">
        <f>IF(ISNUMBER(Datos!BW16),Datos!BW16," - ")</f>
        <v xml:space="preserve"> - </v>
      </c>
      <c r="AK16" s="246" t="str">
        <f>IF(ISNUMBER(Datos!BX16),Datos!BX16," - ")</f>
        <v xml:space="preserve"> - </v>
      </c>
      <c r="AL16" s="266">
        <f>IF(ISNUMBER(NºAsuntos!G16/NºAsuntos!E16),NºAsuntos!G16/NºAsuntos!E16," - ")</f>
        <v>1.066941297631308</v>
      </c>
      <c r="AM16" s="284">
        <f>IF(ISNUMBER(((NºAsuntos!I16/NºAsuntos!G16)*11)/factor_trimestre),((NºAsuntos!I16/NºAsuntos!G16)*11)/factor_trimestre," - ")</f>
        <v>3.8166023166023169</v>
      </c>
      <c r="AN16" s="267">
        <f>IF(ISNUMBER('Resol  Asuntos'!D16/NºAsuntos!G16),'Resol  Asuntos'!D16/NºAsuntos!G16," - ")</f>
        <v>0.17712355212355213</v>
      </c>
      <c r="AO16" s="268">
        <f>IF(ISNUMBER((NºAsuntos!C16+NºAsuntos!E16)/NºAsuntos!G16),(NºAsuntos!C16+NºAsuntos!E16)/NºAsuntos!G16," - ")</f>
        <v>2.2693050193050195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219</v>
      </c>
      <c r="X18" s="240">
        <f>IF(ISNUMBER(Datos!Q18),Datos!Q18," - ")</f>
        <v>1</v>
      </c>
      <c r="Y18" s="374">
        <f t="shared" si="9"/>
        <v>220</v>
      </c>
      <c r="Z18" s="375" t="str">
        <f>IF(ISNUMBER(Datos!CC18),Datos!CC18," - ")</f>
        <v xml:space="preserve"> - </v>
      </c>
      <c r="AA18" s="372">
        <f>IF(ISNUMBER(Datos!L18),Datos!L18,"-")</f>
        <v>231</v>
      </c>
      <c r="AB18" s="374">
        <f>IF(ISNUMBER(Datos!R18),Datos!R18," - ")</f>
        <v>1</v>
      </c>
      <c r="AC18" s="374">
        <f t="shared" si="8"/>
        <v>232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0.96902654867256632</v>
      </c>
      <c r="AM18" s="284">
        <f>IF(ISNUMBER(((NºAsuntos!I18/NºAsuntos!G18)*11)/factor_trimestre),((NºAsuntos!I18/NºAsuntos!G18)*11)/factor_trimestre," - ")</f>
        <v>3.1643835616438358</v>
      </c>
      <c r="AN18" s="267">
        <f>IF(ISNUMBER('Resol  Asuntos'!D18/NºAsuntos!G18),'Resol  Asuntos'!D18/NºAsuntos!G18," - ")</f>
        <v>2.7397260273972601E-2</v>
      </c>
      <c r="AO18" s="268">
        <f>IF(ISNUMBER((NºAsuntos!C18+NºAsuntos!E18)/NºAsuntos!G18),(NºAsuntos!C18+NºAsuntos!E18)/NºAsuntos!G18," - ")</f>
        <v>2.0502283105022832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2766</v>
      </c>
      <c r="G23" s="1163">
        <f>SUBTOTAL(9,G16:G22)</f>
        <v>2983</v>
      </c>
      <c r="H23" s="1162">
        <f t="shared" ref="H23:O23" si="13">SUBTOTAL(9,H15:H22)</f>
        <v>0</v>
      </c>
      <c r="I23" s="1164">
        <f t="shared" si="13"/>
        <v>0</v>
      </c>
      <c r="J23" s="1164">
        <f t="shared" si="13"/>
        <v>0</v>
      </c>
      <c r="K23" s="1164">
        <f t="shared" si="13"/>
        <v>0</v>
      </c>
      <c r="L23" s="1164">
        <f t="shared" si="13"/>
        <v>201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2291</v>
      </c>
      <c r="X23" s="1164">
        <f t="shared" si="14"/>
        <v>141</v>
      </c>
      <c r="Y23" s="1165">
        <f t="shared" si="14"/>
        <v>2292</v>
      </c>
      <c r="Z23" s="1165">
        <f t="shared" si="14"/>
        <v>0</v>
      </c>
      <c r="AA23" s="1165">
        <f t="shared" si="14"/>
        <v>2867</v>
      </c>
      <c r="AB23" s="1165">
        <f t="shared" si="14"/>
        <v>456</v>
      </c>
      <c r="AC23" s="1165">
        <f t="shared" si="14"/>
        <v>3323</v>
      </c>
      <c r="AD23" s="1165">
        <f t="shared" si="14"/>
        <v>0</v>
      </c>
      <c r="AE23" s="1169">
        <f t="shared" si="14"/>
        <v>0</v>
      </c>
      <c r="AF23" s="1162">
        <f t="shared" si="14"/>
        <v>0</v>
      </c>
      <c r="AG23" s="1170">
        <f t="shared" si="14"/>
        <v>0</v>
      </c>
      <c r="AH23" s="1167">
        <f t="shared" si="14"/>
        <v>0</v>
      </c>
      <c r="AI23" s="1162">
        <f t="shared" si="14"/>
        <v>373</v>
      </c>
      <c r="AJ23" s="1164">
        <f t="shared" si="14"/>
        <v>0</v>
      </c>
      <c r="AK23" s="1167">
        <f t="shared" si="14"/>
        <v>0</v>
      </c>
      <c r="AL23" s="1171">
        <f>IF(ISNUMBER(NºAsuntos!G23/NºAsuntos!E23),NºAsuntos!G23/NºAsuntos!E23," - ")</f>
        <v>1.0567343173431734</v>
      </c>
      <c r="AM23" s="1171">
        <f>IF(ISNUMBER(((NºAsuntos!I23/NºAsuntos!G23)*11)/factor_trimestre),((NºAsuntos!I23/NºAsuntos!G23)*11)/factor_trimestre," - ")</f>
        <v>3.7542557835006551</v>
      </c>
      <c r="AN23" s="1172">
        <f>IF(ISNUMBER('Resol  Asuntos'!D23/NºAsuntos!G23),'Resol  Asuntos'!D23/NºAsuntos!G23," - ")</f>
        <v>0.16281099956350939</v>
      </c>
      <c r="AO23" s="1173">
        <f>IF(ISNUMBER((NºAsuntos!C23+NºAsuntos!E23)/NºAsuntos!G23),(NºAsuntos!C23+NºAsuntos!E23)/NºAsuntos!G23," - ")</f>
        <v>2.248363160192056</v>
      </c>
      <c r="AP23" s="1174" t="str">
        <f t="shared" si="2"/>
        <v xml:space="preserve"> - </v>
      </c>
      <c r="AQ23" s="1174">
        <f>IF(ISNUMBER((H23-W23+K23)/(F23)),(H23-W23+K23)/(F23)," - ")</f>
        <v>-0.82827187274041936</v>
      </c>
      <c r="AR23" s="1175">
        <f>IF(ISNUMBER((Datos!P23-Datos!Q23)/(Datos!R23-Datos!P23+Datos!Q23)),(Datos!P23-Datos!Q23)/(Datos!R23-Datos!P23+Datos!Q23)," - ")</f>
        <v>0.15151515151515152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13</v>
      </c>
      <c r="F31" s="1117">
        <f t="shared" si="20"/>
        <v>2846</v>
      </c>
      <c r="G31" s="1118">
        <f t="shared" si="20"/>
        <v>3063</v>
      </c>
      <c r="H31" s="1117">
        <f t="shared" si="20"/>
        <v>0</v>
      </c>
      <c r="I31" s="1119">
        <f t="shared" si="20"/>
        <v>0</v>
      </c>
      <c r="J31" s="1119">
        <f t="shared" si="20"/>
        <v>0</v>
      </c>
      <c r="K31" s="1180">
        <f t="shared" si="20"/>
        <v>0</v>
      </c>
      <c r="L31" s="1119">
        <f t="shared" si="20"/>
        <v>834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2325</v>
      </c>
      <c r="X31" s="1118">
        <f t="shared" si="21"/>
        <v>1506</v>
      </c>
      <c r="Y31" s="1125">
        <f t="shared" si="21"/>
        <v>3691</v>
      </c>
      <c r="Z31" s="1125">
        <f t="shared" si="21"/>
        <v>0</v>
      </c>
      <c r="AA31" s="1125">
        <f t="shared" si="21"/>
        <v>2961</v>
      </c>
      <c r="AB31" s="1125">
        <f t="shared" si="21"/>
        <v>8464</v>
      </c>
      <c r="AC31" s="1125">
        <f t="shared" si="21"/>
        <v>3495</v>
      </c>
      <c r="AD31" s="1125">
        <f t="shared" si="21"/>
        <v>0</v>
      </c>
      <c r="AE31" s="1127">
        <f t="shared" si="21"/>
        <v>0</v>
      </c>
      <c r="AF31" s="1128">
        <f t="shared" si="21"/>
        <v>0</v>
      </c>
      <c r="AG31" s="1129">
        <f t="shared" si="21"/>
        <v>0</v>
      </c>
      <c r="AH31" s="1127">
        <f t="shared" si="21"/>
        <v>0</v>
      </c>
      <c r="AI31" s="1117">
        <f t="shared" si="21"/>
        <v>1227</v>
      </c>
      <c r="AJ31" s="1117">
        <f t="shared" si="21"/>
        <v>0</v>
      </c>
      <c r="AK31" s="1127">
        <f t="shared" si="21"/>
        <v>0</v>
      </c>
      <c r="AL31" s="1183">
        <f>IF(ISNUMBER(NºAsuntos!G31/NºAsuntos!E31),NºAsuntos!G31/NºAsuntos!E31," - ")</f>
        <v>0.97972972972972971</v>
      </c>
      <c r="AM31" s="1184">
        <f>IF(ISNUMBER(((NºAsuntos!I31/NºAsuntos!G31)*11)/factor_trimestre),((NºAsuntos!I31/NºAsuntos!G31)*11)/factor_trimestre," - ")</f>
        <v>5.2049261083743845</v>
      </c>
      <c r="AN31" s="1184">
        <f>IF(ISNUMBER('Resol  Asuntos'!D31/NºAsuntos!G31),'Resol  Asuntos'!D31/NºAsuntos!G31," - ")</f>
        <v>0.24177339901477832</v>
      </c>
      <c r="AO31" s="1185">
        <f>IF(ISNUMBER((NºAsuntos!C31+NºAsuntos!E31)/NºAsuntos!G31),(NºAsuntos!C31+NºAsuntos!E31)/NºAsuntos!G31," - ")</f>
        <v>2.7077832512315272</v>
      </c>
      <c r="AP31" s="1186" t="str">
        <f t="shared" si="2"/>
        <v xml:space="preserve"> - </v>
      </c>
      <c r="AQ31" s="1187">
        <f>IF(OR(ISNUMBER(FIND("01",Criterios!A8,1)),ISNUMBER(FIND("02",Criterios!A8,1)),ISNUMBER(FIND("03",Criterios!A8,1)),ISNUMBER(FIND("04",Criterios!A8,1))),(I31-W31+K31)/(F31-K31),(H31-W31+K31)/(F31-K31))</f>
        <v>-0.81693605059732954</v>
      </c>
      <c r="AR31" s="1188">
        <f>IF(ISNUMBER((Datos!P31-Datos!Q31)/(Datos!R31-Datos!P31+Datos!Q31)),(Datos!P31-Datos!Q31)/(Datos!R31-Datos!P31+Datos!Q31)," - ")</f>
        <v>-7.3555166374781086E-2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875.14285714285711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2.4991226530700166</v>
      </c>
      <c r="F33" s="276">
        <f>IF(ISNUMBER(STDEV(F8:F30)),STDEV(F8:F30),"-")</f>
        <v>1408.1549157200946</v>
      </c>
      <c r="G33" s="277">
        <f>IF(ISNUMBER(STDEV(G8:G30)),STDEV(G8:G30),"-")</f>
        <v>1367.3144515888837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1041.0899279578293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315.13330512657654</v>
      </c>
      <c r="AJ33" s="276">
        <f t="shared" si="25"/>
        <v>0</v>
      </c>
      <c r="AK33" s="278">
        <f t="shared" si="25"/>
        <v>0</v>
      </c>
      <c r="AL33" s="273">
        <f t="shared" si="25"/>
        <v>0.11946115075708096</v>
      </c>
      <c r="AM33" s="274">
        <f t="shared" si="25"/>
        <v>2.1911185316548107</v>
      </c>
      <c r="AN33" s="274">
        <f t="shared" si="25"/>
        <v>0.1208973196527237</v>
      </c>
      <c r="AO33" s="275">
        <f t="shared" si="25"/>
        <v>0.71738004817426881</v>
      </c>
      <c r="AP33" s="317" t="str">
        <f t="shared" si="25"/>
        <v>-</v>
      </c>
      <c r="AQ33" s="318">
        <f t="shared" si="25"/>
        <v>0.28515627587654924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2SLcoLy+oOyy/Ii3Zi8vLeLe7qdRd4YFgmZefxlYA02q/gNJ51v+q55uJTdsWlOew10d/Z9+fsnW8Qfoc9f/4Q==" saltValue="k/AZ6JK3aELlIOF1VOtz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ALBACETE</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0.33401639344262296</v>
      </c>
      <c r="I9" s="395">
        <f>IF(ISNUMBER((Tasas!C9-Datos!BE9)/Datos!BE9),(Tasas!C9-Datos!BE9)/Datos!BE9," - ")</f>
        <v>0.14958284625049675</v>
      </c>
      <c r="J9" s="394">
        <f>IF(ISNUMBER((Tasas!D9-Datos!BF9)/Datos!BF9),(Tasas!D9-Datos!BF9)/Datos!BF9," - ")</f>
        <v>-0.1948389913031798</v>
      </c>
      <c r="K9" s="396">
        <f>IF(ISNUMBER((Tasas!E9-Datos!BG9)/Datos!BG9),(Tasas!E9-Datos!BG9)/Datos!BG9," - ")</f>
        <v>8.2203852347405987E-2</v>
      </c>
      <c r="M9" t="e">
        <f>IF(Monitorios="SI",Datos!CE9,0)</f>
        <v>#REF!</v>
      </c>
      <c r="N9" t="e">
        <f>IF(Monitorios="SI",Datos!CF9,0)</f>
        <v>#REF!</v>
      </c>
      <c r="O9" t="e">
        <f>IF(Monitorios="SI",Datos!CG9,0)</f>
        <v>#REF!</v>
      </c>
      <c r="P9" t="e">
        <f>IF(Monitorios="SI",Datos!CH9,0)</f>
        <v>#REF!</v>
      </c>
      <c r="Q9">
        <f>IF(J_V="SI",0,Datos!AG9)</f>
        <v>206</v>
      </c>
      <c r="R9">
        <f>IF(J_V="SI",0,Datos!AH9)</f>
        <v>197</v>
      </c>
      <c r="S9">
        <f>IF(J_V="SI",0,Datos!AI9)</f>
        <v>173</v>
      </c>
      <c r="T9">
        <f>IF(J_V="SI",0,Datos!AJ9)</f>
        <v>230</v>
      </c>
    </row>
    <row r="10" spans="2:20" ht="14.25">
      <c r="B10" s="300" t="s">
        <v>321</v>
      </c>
      <c r="C10" s="7" t="str">
        <f>Datos!A10</f>
        <v>Jdos. Violencia contra la mujer</v>
      </c>
      <c r="D10" s="397">
        <f>IF(ISNUMBER((Datos!I10-Datos!S10)/Datos!S10),(Datos!I10-Datos!S10)/Datos!S10," - ")</f>
        <v>0.19402985074626866</v>
      </c>
      <c r="E10" s="393">
        <f>IF(ISNUMBER((Datos!J10-Datos!T10)/Datos!T10),(Datos!J10-Datos!T10)/Datos!T10," - ")</f>
        <v>0.26315789473684209</v>
      </c>
      <c r="F10" s="393">
        <f>IF(ISNUMBER((Datos!K10-Datos!U10)/Datos!U10),(Datos!K10-Datos!U10)/Datos!U10," - ")</f>
        <v>-0.12820512820512819</v>
      </c>
      <c r="G10" s="394">
        <f>IF(ISNUMBER((Datos!L10-Datos!V10)/Datos!V10),(Datos!L10-Datos!V10)/Datos!V10," - ")</f>
        <v>0.42424242424242425</v>
      </c>
      <c r="H10" s="244">
        <f>IF(ISNUMBER((Datos!M10-Datos!W10)/Datos!W10),(Datos!M10-Datos!W10)/Datos!W10," - ")</f>
        <v>-0.14285714285714285</v>
      </c>
      <c r="I10" s="395">
        <f>IF(ISNUMBER((Tasas!C10-Datos!BE10)/Datos!BE10),(Tasas!C10-Datos!BE10)/Datos!BE10," - ")</f>
        <v>0.63368983957219249</v>
      </c>
      <c r="J10" s="394">
        <f>IF(ISNUMBER((Tasas!D10-Datos!BF10)/Datos!BF10),(Tasas!D10-Datos!BF10)/Datos!BF10," - ")</f>
        <v>-1.6806722689075571E-2</v>
      </c>
      <c r="K10" s="396">
        <f>IF(ISNUMBER((Tasas!E10-Datos!BG10)/Datos!BG10),(Tasas!E10-Datos!BG10)/Datos!BG10," - ")</f>
        <v>0.3983193277310923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3.2432432432432434E-2</v>
      </c>
      <c r="I11" s="395">
        <f>IF(ISNUMBER((Tasas!C11-Datos!BE11)/Datos!BE11),(Tasas!C11-Datos!BE11)/Datos!BE11," - ")</f>
        <v>-0.14984641060371523</v>
      </c>
      <c r="J11" s="394">
        <f>IF(ISNUMBER((Tasas!D11-Datos!BF11)/Datos!BF11),(Tasas!D11-Datos!BF11)/Datos!BF11," - ")</f>
        <v>-0.29521247837370246</v>
      </c>
      <c r="K11" s="396">
        <f>IF(ISNUMBER((Tasas!E11-Datos!BG11)/Datos!BG11),(Tasas!E11-Datos!BG11)/Datos!BG11," - ")</f>
        <v>-0.11719818741450071</v>
      </c>
      <c r="M11" t="e">
        <f>IF(Monitorios="SI",Datos!CE11,0)</f>
        <v>#REF!</v>
      </c>
      <c r="N11" t="e">
        <f>IF(Monitorios="SI",Datos!CF11,0)</f>
        <v>#REF!</v>
      </c>
      <c r="O11" t="e">
        <f>IF(Monitorios="SI",Datos!CG11,0)</f>
        <v>#REF!</v>
      </c>
      <c r="P11" t="e">
        <f>IF(Monitorios="SI",Datos!CH11,0)</f>
        <v>#REF!</v>
      </c>
      <c r="Q11">
        <f>IF(J_V="SI",0,Datos!AG11)</f>
        <v>49</v>
      </c>
      <c r="R11">
        <f>IF(J_V="SI",0,Datos!AH11)</f>
        <v>187</v>
      </c>
      <c r="S11">
        <f>IF(J_V="SI",0,Datos!AI11)</f>
        <v>187</v>
      </c>
      <c r="T11">
        <f>IF(J_V="SI",0,Datos!AJ11)</f>
        <v>49</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0.2430858806404658</v>
      </c>
      <c r="I14" s="402">
        <f>IF(ISNUMBER((Tasas!C14-Datos!BE14)/Datos!BE14),(Tasas!C14-Datos!BE14)/Datos!BE14," - ")</f>
        <v>0.12099697730111997</v>
      </c>
      <c r="J14" s="400">
        <f>IF(ISNUMBER((Tasas!D14-Datos!BF14)/Datos!BF14),(Tasas!D14-Datos!BF14)/Datos!BF14," - ")</f>
        <v>-0.21772419561204795</v>
      </c>
      <c r="K14" s="403">
        <f>IF(ISNUMBER((Tasas!E14-Datos!BG14)/Datos!BG14),(Tasas!E14-Datos!BG14)/Datos!BG14," - ")</f>
        <v>5.6590018952914906E-2</v>
      </c>
      <c r="M14" t="e">
        <f>IF(Monitorios="SI",Datos!CE14,0)</f>
        <v>#REF!</v>
      </c>
      <c r="N14" t="e">
        <f>IF(Monitorios="SI",Datos!CF14,0)</f>
        <v>#REF!</v>
      </c>
      <c r="O14" t="e">
        <f>IF(Monitorios="SI",Datos!CG14,0)</f>
        <v>#REF!</v>
      </c>
      <c r="P14" t="e">
        <f>IF(Monitorios="SI",Datos!CH14,0)</f>
        <v>#REF!</v>
      </c>
      <c r="Q14">
        <f>IF(J_V="SI",0,Datos!AG14)</f>
        <v>255</v>
      </c>
      <c r="R14">
        <f>IF(J_V="SI",0,Datos!AH14)</f>
        <v>384</v>
      </c>
      <c r="S14">
        <f>IF(J_V="SI",0,Datos!AI14)</f>
        <v>360</v>
      </c>
      <c r="T14">
        <f>IF(J_V="SI",0,Datos!AJ14)</f>
        <v>279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-8.9709762532981532E-2</v>
      </c>
      <c r="E16" s="393">
        <f>IF(ISNUMBER(
   IF(D_I="SI",(Datos!J16-Datos!T16)/Datos!T16,(Datos!J16+Datos!AD16-(Datos!T16+Datos!AL16))/(Datos!T16+Datos!AL16))
     ),IF(D_I="SI",(Datos!J16-Datos!T16)/Datos!T16,(Datos!J16+Datos!AD16-(Datos!T16+Datos!AL16))/(Datos!T16+Datos!AL16))," - ")</f>
        <v>0.26845199216198562</v>
      </c>
      <c r="F16" s="393">
        <f>IF(ISNUMBER(
   IF(D_I="SI",(Datos!K16-Datos!U16)/Datos!U16,(Datos!K16+Datos!AE16-(Datos!U16+Datos!AM16))/(Datos!U16+Datos!AM16))
     ),IF(D_I="SI",(Datos!K16-Datos!U16)/Datos!U16,(Datos!K16+Datos!AE16-(Datos!U16+Datos!AM16))/(Datos!U16+Datos!AM16))," - ")</f>
        <v>0.2429514097180564</v>
      </c>
      <c r="G16" s="394">
        <f>IF(ISNUMBER(
   IF(D_I="SI",(Datos!L16-Datos!V16)/Datos!V16,(Datos!L16+Datos!AF16-(Datos!V16+Datos!AN16))/(Datos!V16+Datos!AN16))
     ),IF(D_I="SI",(Datos!L16-Datos!V16)/Datos!V16,(Datos!L16+Datos!AF16-(Datos!V16+Datos!AN16))/(Datos!V16+Datos!AN16))," - ")</f>
        <v>-9.1660923501033775E-2</v>
      </c>
      <c r="H16" s="244">
        <f>IF(ISNUMBER((Datos!M16-Datos!W16)/Datos!W16),(Datos!M16-Datos!W16)/Datos!W16," - ")</f>
        <v>-6.8527918781725886E-2</v>
      </c>
      <c r="I16" s="395">
        <f>IF(ISNUMBER((Tasas!C16-Datos!BE16)/Datos!BE16),(Tasas!C16-Datos!BE16)/Datos!BE16," - ")</f>
        <v>-0.26920789550010776</v>
      </c>
      <c r="J16" s="394">
        <f>IF(ISNUMBER((Tasas!D16-Datos!BF16)/Datos!BF16),(Tasas!D16-Datos!BF16)/Datos!BF16," - ")</f>
        <v>-0.25059654469552944</v>
      </c>
      <c r="K16" s="396">
        <f>IF(ISNUMBER((Tasas!E16-Datos!BG16)/Datos!BG16),(Tasas!E16-Datos!BG16)/Datos!BG16," - ")</f>
        <v>-0.17095519018595939</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-8.6065573770491802E-2</v>
      </c>
      <c r="E18" s="393">
        <f>IF(ISNUMBER(
   IF(D_I="SI",(Datos!J18-Datos!T18)/Datos!T18,(Datos!J18+Datos!AD18-(Datos!T18+Datos!AL18))/(Datos!T18+Datos!AL18))
     ),IF(D_I="SI",(Datos!J18-Datos!T18)/Datos!T18,(Datos!J18+Datos!AD18-(Datos!T18+Datos!AL18))/(Datos!T18+Datos!AL18))," - ")</f>
        <v>7.1090047393364927E-2</v>
      </c>
      <c r="F18" s="393">
        <f>IF(ISNUMBER(
   IF(D_I="SI",(Datos!K18-Datos!U18)/Datos!U18,(Datos!K18+Datos!AE18-(Datos!U18+Datos!AM18))/(Datos!U18+Datos!AM18))
     ),IF(D_I="SI",(Datos!K18-Datos!U18)/Datos!U18,(Datos!K18+Datos!AE18-(Datos!U18+Datos!AM18))/(Datos!U18+Datos!AM18))," - ")</f>
        <v>-0.25510204081632654</v>
      </c>
      <c r="G18" s="394">
        <f>IF(ISNUMBER(
   IF(D_I="SI",(Datos!L18-Datos!V18)/Datos!V18,(Datos!L18+Datos!AF18-(Datos!V18+Datos!AN18))/(Datos!V18+Datos!AN18))
     ),IF(D_I="SI",(Datos!L18-Datos!V18)/Datos!V18,(Datos!L18+Datos!AF18-(Datos!V18+Datos!AN18))/(Datos!V18+Datos!AN18))," - ")</f>
        <v>0.43478260869565216</v>
      </c>
      <c r="H18" s="244">
        <f>IF(ISNUMBER((Datos!M18-Datos!W18)/Datos!W18),(Datos!M18-Datos!W18)/Datos!W18," - ")</f>
        <v>-0.25</v>
      </c>
      <c r="I18" s="395">
        <f>IF(ISNUMBER((Tasas!C18-Datos!BE18)/Datos!BE18),(Tasas!C18-Datos!BE18)/Datos!BE18," - ")</f>
        <v>0.92614651578320406</v>
      </c>
      <c r="J18" s="394">
        <f>IF(ISNUMBER((Tasas!D18-Datos!BF18)/Datos!BF18),(Tasas!D18-Datos!BF18)/Datos!BF18," - ")</f>
        <v>6.8493150684931321E-3</v>
      </c>
      <c r="K18" s="396">
        <f>IF(ISNUMBER((Tasas!E18-Datos!BG18)/Datos!BG18),(Tasas!E18-Datos!BG18)/Datos!BG18," - ")</f>
        <v>0.32476290832455212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-8.943833943833944E-2</v>
      </c>
      <c r="E23" s="399">
        <f>IF(ISNUMBER(
   IF(D_I="SI",(Datos!J23-Datos!T23)/Datos!T23,(Datos!J23+Datos!AD23-(Datos!T23+Datos!AL23))/(Datos!T23+Datos!AL23))
     ),IF(D_I="SI",(Datos!J23-Datos!T23)/Datos!T23,(Datos!J23+Datos!AD23-(Datos!T23+Datos!AL23))/(Datos!T23+Datos!AL23))," - ")</f>
        <v>0.24454649827784156</v>
      </c>
      <c r="F23" s="399">
        <f>IF(ISNUMBER(
   IF(D_I="SI",(Datos!K23-Datos!U23)/Datos!U23,(Datos!K23+Datos!AE23-(Datos!U23+Datos!AM23))/(Datos!U23+Datos!AM23))
     ),IF(D_I="SI",(Datos!K23-Datos!U23)/Datos!U23,(Datos!K23+Datos!AE23-(Datos!U23+Datos!AM23))/(Datos!U23+Datos!AM23))," - ")</f>
        <v>0.16828148903620602</v>
      </c>
      <c r="G23" s="400">
        <f>IF(ISNUMBER(
   IF(D_I="SI",(Datos!L23-Datos!V23)/Datos!V23,(Datos!L23+Datos!AF23-(Datos!V23+Datos!AN23))/(Datos!V23+Datos!AN23))
     ),IF(D_I="SI",(Datos!L23-Datos!V23)/Datos!V23,(Datos!L23+Datos!AF23-(Datos!V23+Datos!AN23))/(Datos!V23+Datos!AN23))," - ")</f>
        <v>-6.398955272608553E-2</v>
      </c>
      <c r="H23" s="401">
        <f>IF(ISNUMBER((Datos!M23-Datos!W23)/Datos!W23),(Datos!M23-Datos!W23)/Datos!W23," - ")</f>
        <v>-7.2139303482587069E-2</v>
      </c>
      <c r="I23" s="402">
        <f>IF(ISNUMBER((Tasas!C23-Datos!BE23)/Datos!BE23),(Tasas!C23-Datos!BE23)/Datos!BE23," - ")</f>
        <v>-0.19881427887204431</v>
      </c>
      <c r="J23" s="400">
        <f>IF(ISNUMBER((Tasas!D23-Datos!BF23)/Datos!BF23),(Tasas!D23-Datos!BF23)/Datos!BF23," - ")</f>
        <v>-0.20579012401979621</v>
      </c>
      <c r="K23" s="403">
        <f>IF(ISNUMBER((Tasas!E23-Datos!BG23)/Datos!BG23),(Tasas!E23-Datos!BG23)/Datos!BG23," - ")</f>
        <v>-0.12135509024778368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-2.4606971975393029E-2</v>
      </c>
      <c r="E31" s="409">
        <f>IF(ISNUMBER(
   IF(J_V="SI",(Datos!J31-Datos!T31)/Datos!T31,(Datos!J31+Datos!Z31-(Datos!T31+Datos!AH31))/(Datos!T31+Datos!AH31))
     ),IF(J_V="SI",(Datos!J31-Datos!T31)/Datos!T31,(Datos!J31+Datos!Z31-(Datos!T31+Datos!AH31))/(Datos!T31+Datos!AH31))," - ")</f>
        <v>0.17647058823529413</v>
      </c>
      <c r="F31" s="409">
        <f>IF(ISNUMBER(
   IF(J_V="SI",(Datos!K31-Datos!U31)/Datos!U31,(Datos!K31+Datos!AA31-(Datos!U31+Datos!AI31))/(Datos!U31+Datos!AI31))
     ),IF(J_V="SI",(Datos!K31-Datos!U31)/Datos!U31,(Datos!K31+Datos!AA31-(Datos!U31+Datos!AI31))/(Datos!U31+Datos!AI31))," - ")</f>
        <v>6.7073170731707321E-2</v>
      </c>
      <c r="G31" s="410">
        <f>IF(ISNUMBER(
   IF(J_V="SI",(Datos!L31-Datos!V31)/Datos!V31,(Datos!L31+Datos!AB31-(Datos!V31+Datos!AJ31))/(Datos!V31+Datos!AJ31))
     ),IF(J_V="SI",(Datos!L31-Datos!V31)/Datos!V31,(Datos!L31+Datos!AB31-(Datos!V31+Datos!AJ31))/(Datos!V31+Datos!AJ31))," - ")</f>
        <v>5.0590621644195206E-2</v>
      </c>
      <c r="H31" s="411">
        <f>IF(ISNUMBER((Datos!M31-Datos!W31)/Datos!W31),(Datos!M31-Datos!W31)/Datos!W31," - ")</f>
        <v>0.12672176308539945</v>
      </c>
      <c r="I31" s="408">
        <f>IF(ISNUMBER((Tasas!C31-Datos!BE31)/Datos!BE31),(Tasas!C31-Datos!BE31)/Datos!BE31," - ")</f>
        <v>-1.5446503144868532E-2</v>
      </c>
      <c r="J31" s="409">
        <f>IF(ISNUMBER((Tasas!D31-Datos!BF31)/Datos!BF31),(Tasas!D31-Datos!BF31)/Datos!BF31," - ")</f>
        <v>-0.2323936677474728</v>
      </c>
      <c r="K31" s="410">
        <f>IF(ISNUMBER((Tasas!E31-Datos!BG31)/Datos!BG31),(Tasas!E31-Datos!BG31)/Datos!BG31," - ")</f>
        <v>-2.2971159786272361E-2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0.1412269329708109</v>
      </c>
      <c r="E33" s="303">
        <f t="shared" si="1"/>
        <v>9.437285086426872E-2</v>
      </c>
      <c r="F33" s="303">
        <f t="shared" si="1"/>
        <v>0.23710946246245584</v>
      </c>
      <c r="G33" s="304">
        <f t="shared" si="1"/>
        <v>0.29316093267995802</v>
      </c>
      <c r="H33" s="310">
        <f t="shared" si="1"/>
        <v>0.20963957551198034</v>
      </c>
      <c r="I33" s="302">
        <f t="shared" si="1"/>
        <v>0.4510618256748713</v>
      </c>
      <c r="J33" s="303">
        <f t="shared" si="1"/>
        <v>0.11623059654364466</v>
      </c>
      <c r="K33" s="304">
        <f t="shared" si="1"/>
        <v>0.22455270507096001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6D7SK3FVAZAXx+6oeQmqt4KQ6Yzh86PuF1Vm1Wetr1vBa/KSNRx3RYM4mpGtpD5bjWOd2hrS9SE5poEO6s3EQ==" saltValue="0o43W/oe0Ke0jvFVqx+jI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